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" yWindow="45" windowWidth="18375" windowHeight="18240"/>
  </bookViews>
  <sheets>
    <sheet name="Sheet1" sheetId="1" r:id="rId1"/>
    <sheet name="Sheet2" sheetId="2" r:id="rId2"/>
  </sheets>
  <definedNames>
    <definedName name="Family">Sheet1!$A$2</definedName>
  </definedNames>
  <calcPr calcId="125725"/>
</workbook>
</file>

<file path=xl/calcChain.xml><?xml version="1.0" encoding="utf-8"?>
<calcChain xmlns="http://schemas.openxmlformats.org/spreadsheetml/2006/main">
  <c r="O7" i="2"/>
  <c r="L7"/>
  <c r="G7"/>
  <c r="M7" s="1"/>
  <c r="E7"/>
  <c r="O6"/>
  <c r="L6"/>
  <c r="G6"/>
  <c r="M6" s="1"/>
  <c r="E6"/>
  <c r="O5"/>
  <c r="L5"/>
  <c r="G5"/>
  <c r="M5" s="1"/>
  <c r="E5"/>
  <c r="O4"/>
  <c r="M4"/>
  <c r="L4"/>
  <c r="E4"/>
  <c r="O3"/>
  <c r="L3"/>
  <c r="G3"/>
  <c r="H3" s="1"/>
  <c r="E3"/>
  <c r="O2"/>
  <c r="L2"/>
  <c r="H2"/>
  <c r="G2"/>
  <c r="M2" s="1"/>
  <c r="E2"/>
  <c r="DO8" i="1"/>
  <c r="DT8" s="1"/>
  <c r="DI8"/>
  <c r="DM8" s="1"/>
  <c r="DR8" s="1"/>
  <c r="DG8"/>
  <c r="CK8" s="1"/>
  <c r="CQ8"/>
  <c r="O8"/>
  <c r="N8"/>
  <c r="L8"/>
  <c r="DO7"/>
  <c r="DT7" s="1"/>
  <c r="DI7"/>
  <c r="DM7" s="1"/>
  <c r="DR7" s="1"/>
  <c r="DG7"/>
  <c r="CG7" s="1"/>
  <c r="CQ7"/>
  <c r="DO6"/>
  <c r="DT6" s="1"/>
  <c r="DI6"/>
  <c r="DM6" s="1"/>
  <c r="DR6" s="1"/>
  <c r="DG6"/>
  <c r="CK6" s="1"/>
  <c r="CQ6"/>
  <c r="CF6"/>
  <c r="O6"/>
  <c r="N6"/>
  <c r="DO5"/>
  <c r="DY5" s="1"/>
  <c r="DI5"/>
  <c r="CF5" s="1"/>
  <c r="DG5"/>
  <c r="CK5" s="1"/>
  <c r="CQ5"/>
  <c r="O5"/>
  <c r="N5"/>
  <c r="DO4"/>
  <c r="DT4" s="1"/>
  <c r="DI4"/>
  <c r="CF4" s="1"/>
  <c r="DG4"/>
  <c r="CH4" s="1"/>
  <c r="CQ4"/>
  <c r="DO3"/>
  <c r="DT3" s="1"/>
  <c r="DY3" s="1"/>
  <c r="DI3"/>
  <c r="DG3"/>
  <c r="CK3" s="1"/>
  <c r="O3"/>
  <c r="P8" l="1"/>
  <c r="P4"/>
  <c r="P3"/>
  <c r="P5"/>
  <c r="P6"/>
  <c r="P7"/>
  <c r="G8"/>
  <c r="DT5"/>
  <c r="O7"/>
  <c r="H8"/>
  <c r="BW5"/>
  <c r="BR5"/>
  <c r="BU5"/>
  <c r="BZ5"/>
  <c r="DY7"/>
  <c r="BX7" s="1"/>
  <c r="O4"/>
  <c r="DY4"/>
  <c r="N7"/>
  <c r="J8"/>
  <c r="F8"/>
  <c r="K8"/>
  <c r="G3"/>
  <c r="M6"/>
  <c r="G6"/>
  <c r="BX3"/>
  <c r="BS3"/>
  <c r="BO3"/>
  <c r="BV3"/>
  <c r="BW3"/>
  <c r="BZ3"/>
  <c r="BR3"/>
  <c r="J5"/>
  <c r="BV4"/>
  <c r="N4"/>
  <c r="BU4"/>
  <c r="I5"/>
  <c r="BQ5"/>
  <c r="BY5"/>
  <c r="CJ5"/>
  <c r="K7"/>
  <c r="CF7"/>
  <c r="CF8"/>
  <c r="DH8"/>
  <c r="DN8" s="1"/>
  <c r="DS8" s="1"/>
  <c r="DY8"/>
  <c r="BR4"/>
  <c r="BZ4"/>
  <c r="F5"/>
  <c r="BV5"/>
  <c r="CI5"/>
  <c r="DY6"/>
  <c r="BT6" s="1"/>
  <c r="CE8"/>
  <c r="CU8"/>
  <c r="CZ8" s="1"/>
  <c r="CG4"/>
  <c r="I6"/>
  <c r="CJ6"/>
  <c r="G7"/>
  <c r="CJ7"/>
  <c r="I4"/>
  <c r="F4"/>
  <c r="E4"/>
  <c r="E5"/>
  <c r="M5"/>
  <c r="H6"/>
  <c r="F7"/>
  <c r="CH7"/>
  <c r="E8"/>
  <c r="I8"/>
  <c r="M8"/>
  <c r="K4"/>
  <c r="E6"/>
  <c r="L6"/>
  <c r="J7"/>
  <c r="H4"/>
  <c r="M4"/>
  <c r="CK4"/>
  <c r="CH6"/>
  <c r="E7"/>
  <c r="I7"/>
  <c r="M7"/>
  <c r="K3"/>
  <c r="CJ3"/>
  <c r="G4"/>
  <c r="L4"/>
  <c r="H7"/>
  <c r="L7"/>
  <c r="CK7"/>
  <c r="CH8"/>
  <c r="F3"/>
  <c r="J3"/>
  <c r="CH3"/>
  <c r="CG3"/>
  <c r="CP3"/>
  <c r="CQ3" s="1"/>
  <c r="DH3" s="1"/>
  <c r="H5"/>
  <c r="L5"/>
  <c r="CH5"/>
  <c r="K6"/>
  <c r="CG6"/>
  <c r="E3"/>
  <c r="I3"/>
  <c r="M3"/>
  <c r="H3"/>
  <c r="L3"/>
  <c r="G5"/>
  <c r="K5"/>
  <c r="CG5"/>
  <c r="F6"/>
  <c r="J6"/>
  <c r="CJ8"/>
  <c r="CI6"/>
  <c r="CI7"/>
  <c r="CI8"/>
  <c r="CI3"/>
  <c r="J4"/>
  <c r="CJ4"/>
  <c r="N3"/>
  <c r="BQ3"/>
  <c r="BU3"/>
  <c r="BY3"/>
  <c r="CF3"/>
  <c r="CU3"/>
  <c r="CV3" s="1"/>
  <c r="BP4"/>
  <c r="BT4"/>
  <c r="BX4"/>
  <c r="CE4"/>
  <c r="CL4" s="1"/>
  <c r="CU4"/>
  <c r="DH4"/>
  <c r="BP5"/>
  <c r="BT5"/>
  <c r="BX5"/>
  <c r="CE5"/>
  <c r="CL5" s="1"/>
  <c r="CU5"/>
  <c r="CZ5" s="1"/>
  <c r="DH5"/>
  <c r="BX6"/>
  <c r="CE6"/>
  <c r="CU6"/>
  <c r="CZ6" s="1"/>
  <c r="DH6"/>
  <c r="DX6"/>
  <c r="CE7"/>
  <c r="CL7" s="1"/>
  <c r="CU7"/>
  <c r="CZ7" s="1"/>
  <c r="DH7"/>
  <c r="DX7"/>
  <c r="DX8"/>
  <c r="M3" i="2"/>
  <c r="CI4" i="1" s="1"/>
  <c r="BP3"/>
  <c r="BT3"/>
  <c r="CE3"/>
  <c r="CL3" s="1"/>
  <c r="CM3" s="1"/>
  <c r="Q3" s="1"/>
  <c r="BO4"/>
  <c r="BS4"/>
  <c r="BO5"/>
  <c r="BS5"/>
  <c r="BO7"/>
  <c r="BS7"/>
  <c r="DW8"/>
  <c r="CG8"/>
  <c r="CL8" s="1"/>
  <c r="CS8"/>
  <c r="CT8" s="1"/>
  <c r="DE8" s="1"/>
  <c r="DJ8"/>
  <c r="CM4" l="1"/>
  <c r="CL6"/>
  <c r="CM6" s="1"/>
  <c r="Q6" s="1"/>
  <c r="BQ7"/>
  <c r="BW7"/>
  <c r="BO6"/>
  <c r="BP7"/>
  <c r="BS6"/>
  <c r="BT7"/>
  <c r="BP6"/>
  <c r="BY7"/>
  <c r="BR7"/>
  <c r="CM8"/>
  <c r="Q8" s="1"/>
  <c r="CM5"/>
  <c r="Q5" s="1"/>
  <c r="Q4"/>
  <c r="BZ7"/>
  <c r="BV7"/>
  <c r="BU7"/>
  <c r="BW4"/>
  <c r="BQ4"/>
  <c r="BY4"/>
  <c r="CV8"/>
  <c r="CW8" s="1"/>
  <c r="BZ8"/>
  <c r="BV8"/>
  <c r="BR8"/>
  <c r="BW8"/>
  <c r="BS8"/>
  <c r="BO8"/>
  <c r="BX8"/>
  <c r="BT8"/>
  <c r="BP8"/>
  <c r="BY8"/>
  <c r="BU8"/>
  <c r="BQ8"/>
  <c r="BW6"/>
  <c r="BV6"/>
  <c r="BY6"/>
  <c r="BQ6"/>
  <c r="BZ6"/>
  <c r="BR6"/>
  <c r="BU6"/>
  <c r="CM7"/>
  <c r="Q7" s="1"/>
  <c r="BA8"/>
  <c r="AW8"/>
  <c r="AS8"/>
  <c r="BB8"/>
  <c r="AX8"/>
  <c r="AT8"/>
  <c r="AY8"/>
  <c r="AU8"/>
  <c r="AQ8"/>
  <c r="AZ8"/>
  <c r="AV8"/>
  <c r="AR8"/>
  <c r="BM6"/>
  <c r="BI6"/>
  <c r="BE6"/>
  <c r="BN6"/>
  <c r="BJ6"/>
  <c r="BF6"/>
  <c r="BK6"/>
  <c r="BG6"/>
  <c r="BC6"/>
  <c r="BL6"/>
  <c r="BH6"/>
  <c r="BD6"/>
  <c r="DN4"/>
  <c r="DS4" s="1"/>
  <c r="DX4" s="1"/>
  <c r="DJ4"/>
  <c r="CS4"/>
  <c r="CT4" s="1"/>
  <c r="DE4" s="1"/>
  <c r="BM7"/>
  <c r="BI7"/>
  <c r="BE7"/>
  <c r="BN7"/>
  <c r="BJ7"/>
  <c r="BF7"/>
  <c r="BK7"/>
  <c r="BG7"/>
  <c r="BC7"/>
  <c r="BL7"/>
  <c r="BH7"/>
  <c r="BD7"/>
  <c r="DN5"/>
  <c r="DS5" s="1"/>
  <c r="DX5" s="1"/>
  <c r="DJ5"/>
  <c r="CS5"/>
  <c r="CT5" s="1"/>
  <c r="DE5" s="1"/>
  <c r="CW3"/>
  <c r="CX3" s="1"/>
  <c r="CY3" s="1"/>
  <c r="CZ3"/>
  <c r="CV5"/>
  <c r="DN6"/>
  <c r="DS6" s="1"/>
  <c r="DW6" s="1"/>
  <c r="DJ6"/>
  <c r="CS6"/>
  <c r="CT6" s="1"/>
  <c r="DE6" s="1"/>
  <c r="CZ4"/>
  <c r="CX8"/>
  <c r="CY8" s="1"/>
  <c r="CV6"/>
  <c r="BM8"/>
  <c r="BI8"/>
  <c r="BE8"/>
  <c r="BN8"/>
  <c r="BJ8"/>
  <c r="BF8"/>
  <c r="BK8"/>
  <c r="BG8"/>
  <c r="BC8"/>
  <c r="BL8"/>
  <c r="BH8"/>
  <c r="BD8"/>
  <c r="DN7"/>
  <c r="DS7" s="1"/>
  <c r="DW7" s="1"/>
  <c r="DJ7"/>
  <c r="CS7"/>
  <c r="CT7" s="1"/>
  <c r="DE7" s="1"/>
  <c r="DN3"/>
  <c r="DS3" s="1"/>
  <c r="DX3" s="1"/>
  <c r="CS3"/>
  <c r="CT3" s="1"/>
  <c r="DE3" s="1"/>
  <c r="DJ3"/>
  <c r="DL8"/>
  <c r="DQ8" s="1"/>
  <c r="DV8" s="1"/>
  <c r="DK8"/>
  <c r="CV4"/>
  <c r="CV7"/>
  <c r="DA8" l="1"/>
  <c r="DD8" s="1"/>
  <c r="DB8"/>
  <c r="DC8"/>
  <c r="DA3"/>
  <c r="DB3"/>
  <c r="DC3"/>
  <c r="DK3"/>
  <c r="DL3" s="1"/>
  <c r="DQ3" s="1"/>
  <c r="DV3" s="1"/>
  <c r="DK7"/>
  <c r="DL7" s="1"/>
  <c r="DQ7" s="1"/>
  <c r="DV7" s="1"/>
  <c r="DK4"/>
  <c r="DL4" s="1"/>
  <c r="DQ4" s="1"/>
  <c r="DV4" s="1"/>
  <c r="CW7"/>
  <c r="AO8"/>
  <c r="AK8"/>
  <c r="AG8"/>
  <c r="AP8"/>
  <c r="AL8"/>
  <c r="AH8"/>
  <c r="AM8"/>
  <c r="AI8"/>
  <c r="AE8"/>
  <c r="AN8"/>
  <c r="AJ8"/>
  <c r="AF8"/>
  <c r="CW5"/>
  <c r="DU8"/>
  <c r="DP8"/>
  <c r="BF3"/>
  <c r="BL3"/>
  <c r="BH3"/>
  <c r="BD3"/>
  <c r="BN3"/>
  <c r="BJ3"/>
  <c r="BK3"/>
  <c r="BG3"/>
  <c r="BM3"/>
  <c r="BI3"/>
  <c r="BE3"/>
  <c r="BC3"/>
  <c r="CW6"/>
  <c r="CX6" s="1"/>
  <c r="BA6"/>
  <c r="AW6"/>
  <c r="AS6"/>
  <c r="BB6"/>
  <c r="AX6"/>
  <c r="AT6"/>
  <c r="AY6"/>
  <c r="AU6"/>
  <c r="AQ6"/>
  <c r="AZ6"/>
  <c r="AV6"/>
  <c r="AR6"/>
  <c r="BM5"/>
  <c r="BI5"/>
  <c r="BE5"/>
  <c r="BN5"/>
  <c r="BJ5"/>
  <c r="BF5"/>
  <c r="BK5"/>
  <c r="BG5"/>
  <c r="BC5"/>
  <c r="BL5"/>
  <c r="BH5"/>
  <c r="BD5"/>
  <c r="CW4"/>
  <c r="CX4" s="1"/>
  <c r="CY4" s="1"/>
  <c r="BA7"/>
  <c r="AW7"/>
  <c r="AS7"/>
  <c r="BB7"/>
  <c r="AX7"/>
  <c r="AT7"/>
  <c r="AY7"/>
  <c r="AU7"/>
  <c r="AQ7"/>
  <c r="AZ7"/>
  <c r="AV7"/>
  <c r="AR7"/>
  <c r="DK6"/>
  <c r="DL6" s="1"/>
  <c r="DQ6" s="1"/>
  <c r="DV6" s="1"/>
  <c r="DK5"/>
  <c r="BM4"/>
  <c r="BI4"/>
  <c r="BN4"/>
  <c r="BJ4"/>
  <c r="BF4"/>
  <c r="BK4"/>
  <c r="BG4"/>
  <c r="BC4"/>
  <c r="BL4"/>
  <c r="BH4"/>
  <c r="BD4"/>
  <c r="BE4"/>
  <c r="DD3" l="1"/>
  <c r="B3" s="1"/>
  <c r="DA4"/>
  <c r="DD4" s="1"/>
  <c r="DB4"/>
  <c r="DC4"/>
  <c r="AK4"/>
  <c r="AP4"/>
  <c r="AL4"/>
  <c r="AH4"/>
  <c r="AM4"/>
  <c r="AI4"/>
  <c r="AE4"/>
  <c r="AO4"/>
  <c r="AN4"/>
  <c r="AJ4"/>
  <c r="AF4"/>
  <c r="AG4"/>
  <c r="DU5"/>
  <c r="DP5"/>
  <c r="DU3"/>
  <c r="DP3"/>
  <c r="DM3"/>
  <c r="DR3" s="1"/>
  <c r="DW3" s="1"/>
  <c r="CX5"/>
  <c r="CY5" s="1"/>
  <c r="CX7"/>
  <c r="CY7" s="1"/>
  <c r="AO6"/>
  <c r="AK6"/>
  <c r="AG6"/>
  <c r="AP6"/>
  <c r="AL6"/>
  <c r="AH6"/>
  <c r="AM6"/>
  <c r="AI6"/>
  <c r="AE6"/>
  <c r="AN6"/>
  <c r="AJ6"/>
  <c r="AF6"/>
  <c r="DU4"/>
  <c r="DP4"/>
  <c r="DM4"/>
  <c r="DR4" s="1"/>
  <c r="DW4" s="1"/>
  <c r="AH3"/>
  <c r="AE3"/>
  <c r="AN3"/>
  <c r="AJ3"/>
  <c r="AF3"/>
  <c r="AK3"/>
  <c r="AP3"/>
  <c r="AI3"/>
  <c r="AO3"/>
  <c r="AG3"/>
  <c r="AL3"/>
  <c r="AM3"/>
  <c r="A8"/>
  <c r="B8"/>
  <c r="DU6"/>
  <c r="DP6"/>
  <c r="AO7"/>
  <c r="AK7"/>
  <c r="AG7"/>
  <c r="AP7"/>
  <c r="AL7"/>
  <c r="AH7"/>
  <c r="AM7"/>
  <c r="AI7"/>
  <c r="AE7"/>
  <c r="AN7"/>
  <c r="AJ7"/>
  <c r="AF7"/>
  <c r="AC8"/>
  <c r="Y8"/>
  <c r="U8"/>
  <c r="AD8"/>
  <c r="Z8"/>
  <c r="V8"/>
  <c r="AA8"/>
  <c r="W8"/>
  <c r="S8"/>
  <c r="AB8"/>
  <c r="X8"/>
  <c r="T8"/>
  <c r="DU7"/>
  <c r="DP7"/>
  <c r="DL5"/>
  <c r="DQ5" s="1"/>
  <c r="DV5" s="1"/>
  <c r="CY6"/>
  <c r="A3" l="1"/>
  <c r="DA5"/>
  <c r="DB5"/>
  <c r="DC5"/>
  <c r="DA7"/>
  <c r="DB7"/>
  <c r="DC7"/>
  <c r="AC6"/>
  <c r="Y6"/>
  <c r="U6"/>
  <c r="AD6"/>
  <c r="Z6"/>
  <c r="V6"/>
  <c r="AA6"/>
  <c r="W6"/>
  <c r="S6"/>
  <c r="AB6"/>
  <c r="X6"/>
  <c r="T6"/>
  <c r="AT3"/>
  <c r="AU3"/>
  <c r="AQ3"/>
  <c r="AZ3"/>
  <c r="AV3"/>
  <c r="AR3"/>
  <c r="AX3"/>
  <c r="AY3"/>
  <c r="BA3"/>
  <c r="AW3"/>
  <c r="AS3"/>
  <c r="BB3"/>
  <c r="AO5"/>
  <c r="AK5"/>
  <c r="AG5"/>
  <c r="AP5"/>
  <c r="AL5"/>
  <c r="AH5"/>
  <c r="AM5"/>
  <c r="AI5"/>
  <c r="AE5"/>
  <c r="AN5"/>
  <c r="AJ5"/>
  <c r="AF5"/>
  <c r="AW4"/>
  <c r="BB4"/>
  <c r="AX4"/>
  <c r="AT4"/>
  <c r="AY4"/>
  <c r="AU4"/>
  <c r="AQ4"/>
  <c r="BA4"/>
  <c r="AZ4"/>
  <c r="AV4"/>
  <c r="AR4"/>
  <c r="AS4"/>
  <c r="B4"/>
  <c r="A4"/>
  <c r="DM5"/>
  <c r="DR5" s="1"/>
  <c r="DW5" s="1"/>
  <c r="AC7"/>
  <c r="Y7"/>
  <c r="U7"/>
  <c r="AD7"/>
  <c r="Z7"/>
  <c r="V7"/>
  <c r="AA7"/>
  <c r="W7"/>
  <c r="S7"/>
  <c r="AB7"/>
  <c r="X7"/>
  <c r="T7"/>
  <c r="AA3"/>
  <c r="AB3"/>
  <c r="X3"/>
  <c r="T3"/>
  <c r="AC3"/>
  <c r="U3"/>
  <c r="AD3"/>
  <c r="V3"/>
  <c r="S3"/>
  <c r="Y3"/>
  <c r="Z3"/>
  <c r="W3"/>
  <c r="DA6"/>
  <c r="DB6"/>
  <c r="DC6"/>
  <c r="Y4"/>
  <c r="AD4"/>
  <c r="Z4"/>
  <c r="V4"/>
  <c r="AA4"/>
  <c r="W4"/>
  <c r="S4"/>
  <c r="AC4"/>
  <c r="AB4"/>
  <c r="X4"/>
  <c r="T4"/>
  <c r="U4"/>
  <c r="AC5"/>
  <c r="Y5"/>
  <c r="U5"/>
  <c r="AD5"/>
  <c r="Z5"/>
  <c r="V5"/>
  <c r="AA5"/>
  <c r="W5"/>
  <c r="S5"/>
  <c r="AB5"/>
  <c r="X5"/>
  <c r="T5"/>
  <c r="DD5" l="1"/>
  <c r="DD6"/>
  <c r="A6" s="1"/>
  <c r="BA5"/>
  <c r="AW5"/>
  <c r="AS5"/>
  <c r="BB5"/>
  <c r="AX5"/>
  <c r="AT5"/>
  <c r="AY5"/>
  <c r="AU5"/>
  <c r="AQ5"/>
  <c r="AZ5"/>
  <c r="AV5"/>
  <c r="AR5"/>
  <c r="A5"/>
  <c r="B5"/>
  <c r="B6"/>
  <c r="DD7"/>
  <c r="A7" l="1"/>
  <c r="B7"/>
</calcChain>
</file>

<file path=xl/sharedStrings.xml><?xml version="1.0" encoding="utf-8"?>
<sst xmlns="http://schemas.openxmlformats.org/spreadsheetml/2006/main" count="177" uniqueCount="135">
  <si>
    <t>$DESCRIPTION</t>
  </si>
  <si>
    <t>$COLOR</t>
  </si>
  <si>
    <t>$DISPLAYSTATE</t>
  </si>
  <si>
    <t>$VALUE@Body Length@Equations</t>
  </si>
  <si>
    <t>$VALUE@Body Diameter Ends@Equations</t>
  </si>
  <si>
    <t>$VALUE@Body Diameter@Equations</t>
  </si>
  <si>
    <t>$VALUE@Body Inner Slope@Equations</t>
  </si>
  <si>
    <t>$PARTNUMBER</t>
  </si>
  <si>
    <t>$C</t>
  </si>
  <si>
    <t>Tolerance</t>
  </si>
  <si>
    <t>$STATE@Band4-GD</t>
  </si>
  <si>
    <t>$STATE@Band1-BK</t>
  </si>
  <si>
    <t>$STATE@Band1-BL</t>
  </si>
  <si>
    <t>$STATE@Band1-BN</t>
  </si>
  <si>
    <t>$STATE@Band1-GD</t>
  </si>
  <si>
    <t>$STATE@Band1-GN</t>
  </si>
  <si>
    <t>$STATE@Band1-GY</t>
  </si>
  <si>
    <t>$STATE@Band1-OR</t>
  </si>
  <si>
    <t>$STATE@Band1-RD</t>
  </si>
  <si>
    <t>$STATE@Band1-SR</t>
  </si>
  <si>
    <t>$STATE@Band1-VT</t>
  </si>
  <si>
    <t>$STATE@Band1-WT</t>
  </si>
  <si>
    <t>$STATE@Band1-YL</t>
  </si>
  <si>
    <t>$STATE@Band2-BK</t>
  </si>
  <si>
    <t>$STATE@Band2-BL</t>
  </si>
  <si>
    <t>$STATE@Band2-BN</t>
  </si>
  <si>
    <t>$STATE@Band2-GD</t>
  </si>
  <si>
    <t>$STATE@Band2-GN</t>
  </si>
  <si>
    <t>$STATE@Band2-GY</t>
  </si>
  <si>
    <t>$STATE@Band2-OR</t>
  </si>
  <si>
    <t>$STATE@Band2-RD</t>
  </si>
  <si>
    <t>$STATE@Band2-SR</t>
  </si>
  <si>
    <t>$STATE@Band2-VT</t>
  </si>
  <si>
    <t>$STATE@Band2-WT</t>
  </si>
  <si>
    <t>$STATE@Band2-YL</t>
  </si>
  <si>
    <t>$STATE@Band3-BL</t>
  </si>
  <si>
    <t>$STATE@Band3-BN</t>
  </si>
  <si>
    <t>$STATE@Band3-GD</t>
  </si>
  <si>
    <t>$STATE@Band3-GN</t>
  </si>
  <si>
    <t>$STATE@Band3-GY</t>
  </si>
  <si>
    <t>$STATE@Band3-OR</t>
  </si>
  <si>
    <t>$STATE@Band3-RD</t>
  </si>
  <si>
    <t>$STATE@Band3-SR</t>
  </si>
  <si>
    <t>$STATE@Band3-VT</t>
  </si>
  <si>
    <t>$STATE@Band3-WT</t>
  </si>
  <si>
    <t>$STATE@Band3-YL</t>
  </si>
  <si>
    <t>$STATE@Band4-BK</t>
  </si>
  <si>
    <t>$STATE@Band4-BL</t>
  </si>
  <si>
    <t>$STATE@Band4-BN</t>
  </si>
  <si>
    <t>$STATE@Band4-GN</t>
  </si>
  <si>
    <t>$STATE@Band4-GY</t>
  </si>
  <si>
    <t>$STATE@Band4-OR</t>
  </si>
  <si>
    <t>$STATE@Band4-RD</t>
  </si>
  <si>
    <t>$STATE@Band4-SR</t>
  </si>
  <si>
    <t>$STATE@Band4-VT</t>
  </si>
  <si>
    <t>$STATE@Band4-WT</t>
  </si>
  <si>
    <t>$STATE@Band4-YL</t>
  </si>
  <si>
    <t>$STATE@Band5-BK</t>
  </si>
  <si>
    <t>$STATE@Band5-BL</t>
  </si>
  <si>
    <t>$STATE@Band5-BN</t>
  </si>
  <si>
    <t>$STATE@Band5-GD</t>
  </si>
  <si>
    <t>$STATE@Band5-GN</t>
  </si>
  <si>
    <t>$STATE@Band5-GY</t>
  </si>
  <si>
    <t>$STATE@Band5-OR</t>
  </si>
  <si>
    <t>$STATE@Band5-RD</t>
  </si>
  <si>
    <t>$STATE@Band5-SR</t>
  </si>
  <si>
    <t>$STATE@Band5-VT</t>
  </si>
  <si>
    <t>$STATE@Band5-WT</t>
  </si>
  <si>
    <t>$STATE@Band5-YL</t>
  </si>
  <si>
    <t>$VALUE@Body Length Middle@Equations</t>
  </si>
  <si>
    <t>$VALUE@Colour Band Width@Equations</t>
  </si>
  <si>
    <t>$VALUE@Wire Bend Radius@Equations</t>
  </si>
  <si>
    <t>$VALUE@Wire Diameter@Equations</t>
  </si>
  <si>
    <t>$VALUE@Wire Spacing@Equations</t>
  </si>
  <si>
    <t>Value</t>
  </si>
  <si>
    <t>L</t>
  </si>
  <si>
    <t>Number of Signifanct Figures</t>
  </si>
  <si>
    <t>Multiplier</t>
  </si>
  <si>
    <t>Band1</t>
  </si>
  <si>
    <t>Band2</t>
  </si>
  <si>
    <t>Band3</t>
  </si>
  <si>
    <t>Band4</t>
  </si>
  <si>
    <t>Band5</t>
  </si>
  <si>
    <t>Tolerance%</t>
  </si>
  <si>
    <t>Casing</t>
  </si>
  <si>
    <t>Body Length</t>
  </si>
  <si>
    <t>Body Diameter</t>
  </si>
  <si>
    <t>Body Inner Slope</t>
  </si>
  <si>
    <t>Body Length Middle</t>
  </si>
  <si>
    <t>Colour Band Width</t>
  </si>
  <si>
    <t>Wire Bend Radius</t>
  </si>
  <si>
    <t>Wire Diameter</t>
  </si>
  <si>
    <t>Wire Spacing</t>
  </si>
  <si>
    <t>Body Diameter Ends</t>
  </si>
  <si>
    <t>Wire Spacing (mils)</t>
  </si>
  <si>
    <t>Series</t>
  </si>
  <si>
    <t>E24</t>
  </si>
  <si>
    <t>Abbr. Value</t>
  </si>
  <si>
    <t>Format</t>
  </si>
  <si>
    <t>ColourVal1</t>
  </si>
  <si>
    <t>ColourVal2</t>
  </si>
  <si>
    <t>ColourVal3</t>
  </si>
  <si>
    <t>ColourMultiplier</t>
  </si>
  <si>
    <t>ColourTolerance</t>
  </si>
  <si>
    <t>$STATE@Band3-BK</t>
  </si>
  <si>
    <t>Decimal</t>
  </si>
  <si>
    <t>Significand</t>
  </si>
  <si>
    <t>Mantissa1</t>
  </si>
  <si>
    <t>Mantissa2</t>
  </si>
  <si>
    <t>Mantissa3</t>
  </si>
  <si>
    <t>Short Value</t>
  </si>
  <si>
    <t>Mult</t>
  </si>
  <si>
    <t>Decade</t>
  </si>
  <si>
    <t>Series Element</t>
  </si>
  <si>
    <t>Approx Power Rating</t>
  </si>
  <si>
    <t>$STATE@Directional1</t>
  </si>
  <si>
    <t>$STATE@Directional2</t>
  </si>
  <si>
    <t>$STATE@Directional3</t>
  </si>
  <si>
    <t>S</t>
  </si>
  <si>
    <t>$VALUE@First Band Offset@Equations</t>
  </si>
  <si>
    <t>$VALUE@Last Band Offset@Equations</t>
  </si>
  <si>
    <t>#Bands</t>
  </si>
  <si>
    <t>First Band Offset</t>
  </si>
  <si>
    <t>Last Band Offset</t>
  </si>
  <si>
    <t>Design Table for: Resistor</t>
  </si>
  <si>
    <t>Metal</t>
  </si>
  <si>
    <t>=0.4*(("Body Diameter Ends"-"Wire Diameter")/2-"Paint Thickness")</t>
  </si>
  <si>
    <t>=0.3*(("Body Diameter Ends"-"Wire Diameter")/2-"Paint Thickness")</t>
  </si>
  <si>
    <t>Paint Thickness</t>
  </si>
  <si>
    <t>HS Flat End Width</t>
  </si>
  <si>
    <t>First Band Offset  (mm)</t>
  </si>
  <si>
    <t>Max End Fillet Radius (H)</t>
  </si>
  <si>
    <t>Max End Fillet Radius (V)</t>
  </si>
  <si>
    <t>$VALUE@End Fillet Radius@Equations</t>
  </si>
  <si>
    <t>$VALUE@Paint Thickness@Equations</t>
  </si>
</sst>
</file>

<file path=xl/styles.xml><?xml version="1.0" encoding="utf-8"?>
<styleSheet xmlns="http://schemas.openxmlformats.org/spreadsheetml/2006/main">
  <numFmts count="6">
    <numFmt numFmtId="43" formatCode="_-* #,##0.00_-;\-* #,##0.00_-;_-* &quot;-&quot;??_-;_-@_-"/>
    <numFmt numFmtId="164" formatCode="#,##0.00&quot; Ω&quot;"/>
    <numFmt numFmtId="165" formatCode="0.000&quot; W&quot;"/>
    <numFmt numFmtId="166" formatCode="#&quot; mils&quot;"/>
    <numFmt numFmtId="167" formatCode="0.0%"/>
    <numFmt numFmtId="168" formatCode="#,##0.##&quot; Ω&quot;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49" fontId="0" fillId="0" borderId="0" xfId="0" applyNumberFormat="1"/>
    <xf numFmtId="0" fontId="0" fillId="0" borderId="0" xfId="0" applyNumberFormat="1"/>
    <xf numFmtId="49" fontId="0" fillId="0" borderId="0" xfId="0" applyNumberFormat="1" applyAlignment="1">
      <alignment textRotation="90"/>
    </xf>
    <xf numFmtId="0" fontId="0" fillId="0" borderId="0" xfId="0" applyNumberFormat="1" applyAlignment="1">
      <alignment textRotation="90"/>
    </xf>
    <xf numFmtId="0" fontId="0" fillId="0" borderId="0" xfId="0" applyAlignment="1">
      <alignment textRotation="90"/>
    </xf>
    <xf numFmtId="164" fontId="0" fillId="0" borderId="0" xfId="0" applyNumberFormat="1" applyFill="1"/>
    <xf numFmtId="3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textRotation="90"/>
    </xf>
    <xf numFmtId="0" fontId="0" fillId="0" borderId="0" xfId="0" applyNumberFormat="1" applyAlignment="1">
      <alignment horizontal="center" vertical="top"/>
    </xf>
    <xf numFmtId="165" fontId="0" fillId="0" borderId="0" xfId="0" applyNumberFormat="1"/>
    <xf numFmtId="10" fontId="0" fillId="0" borderId="0" xfId="0" applyNumberFormat="1"/>
    <xf numFmtId="0" fontId="0" fillId="0" borderId="0" xfId="1" applyNumberFormat="1" applyFont="1" applyFill="1"/>
    <xf numFmtId="166" fontId="0" fillId="0" borderId="0" xfId="0" applyNumberFormat="1"/>
    <xf numFmtId="0" fontId="0" fillId="0" borderId="0" xfId="0" applyFill="1"/>
    <xf numFmtId="167" fontId="0" fillId="0" borderId="0" xfId="0" applyNumberFormat="1"/>
    <xf numFmtId="168" fontId="0" fillId="0" borderId="0" xfId="0" applyNumberFormat="1" applyFill="1"/>
    <xf numFmtId="49" fontId="0" fillId="0" borderId="0" xfId="0" applyNumberFormat="1" applyAlignment="1">
      <alignment horizontal="center" vertical="top"/>
    </xf>
    <xf numFmtId="0" fontId="0" fillId="0" borderId="0" xfId="0" quotePrefix="1" applyNumberFormat="1" applyAlignment="1">
      <alignment horizontal="center" vertical="top"/>
    </xf>
    <xf numFmtId="0" fontId="0" fillId="0" borderId="0" xfId="0" quotePrefix="1"/>
    <xf numFmtId="2" fontId="0" fillId="0" borderId="0" xfId="0" quotePrefix="1" applyNumberFormat="1" applyAlignment="1">
      <alignment horizontal="center" vertical="top"/>
    </xf>
    <xf numFmtId="2" fontId="0" fillId="0" borderId="0" xfId="0" applyNumberFormat="1"/>
    <xf numFmtId="0" fontId="0" fillId="0" borderId="0" xfId="1" quotePrefix="1" applyNumberFormat="1" applyFont="1" applyFill="1"/>
    <xf numFmtId="2" fontId="0" fillId="0" borderId="0" xfId="1" quotePrefix="1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Y8"/>
  <sheetViews>
    <sheetView tabSelected="1" zoomScale="96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Q16" sqref="Q16"/>
    </sheetView>
  </sheetViews>
  <sheetFormatPr defaultRowHeight="15"/>
  <cols>
    <col min="1" max="1" width="9.42578125" style="1" customWidth="1"/>
    <col min="2" max="2" width="25" style="2" bestFit="1" customWidth="1"/>
    <col min="3" max="3" width="8.140625" style="2" customWidth="1"/>
    <col min="4" max="4" width="7.28515625" style="2" bestFit="1" customWidth="1"/>
    <col min="5" max="5" width="8.42578125" style="2" bestFit="1" customWidth="1"/>
    <col min="6" max="6" width="8" style="2" customWidth="1"/>
    <col min="7" max="7" width="9" style="2" customWidth="1"/>
    <col min="8" max="8" width="6.7109375" style="2" customWidth="1"/>
    <col min="9" max="12" width="8" style="2" bestFit="1" customWidth="1"/>
    <col min="13" max="13" width="10" style="2" bestFit="1" customWidth="1"/>
    <col min="14" max="15" width="6.85546875" style="2" bestFit="1" customWidth="1"/>
    <col min="16" max="16" width="10.140625" style="2" bestFit="1" customWidth="1"/>
    <col min="17" max="17" width="9.140625" style="2" bestFit="1" customWidth="1"/>
    <col min="18" max="18" width="3.85546875" style="2" customWidth="1"/>
    <col min="19" max="19" width="3.85546875" style="2" bestFit="1" customWidth="1"/>
    <col min="20" max="65" width="3.85546875" style="2" customWidth="1"/>
    <col min="66" max="66" width="3.85546875" style="1" customWidth="1"/>
    <col min="67" max="78" width="3.85546875" style="2" customWidth="1"/>
    <col min="79" max="81" width="3.85546875" style="1" customWidth="1"/>
    <col min="82" max="82" width="10.140625" style="2" customWidth="1"/>
    <col min="83" max="84" width="6.28515625" style="2" bestFit="1" customWidth="1"/>
    <col min="85" max="85" width="4.140625" style="2" bestFit="1" customWidth="1"/>
    <col min="86" max="86" width="6.28515625" style="2" bestFit="1" customWidth="1"/>
    <col min="87" max="89" width="7.140625" style="2" customWidth="1"/>
    <col min="90" max="90" width="4.7109375" style="2" bestFit="1" customWidth="1"/>
    <col min="91" max="91" width="7.140625" style="2" customWidth="1"/>
    <col min="92" max="92" width="4.140625" style="2" bestFit="1" customWidth="1"/>
    <col min="93" max="93" width="3.140625" style="2" bestFit="1" customWidth="1"/>
    <col min="94" max="94" width="8.140625" style="2" bestFit="1" customWidth="1"/>
    <col min="95" max="95" width="11.5703125" bestFit="1" customWidth="1"/>
    <col min="96" max="96" width="6.28515625" bestFit="1" customWidth="1"/>
    <col min="97" max="97" width="5.7109375" hidden="1" customWidth="1"/>
    <col min="98" max="98" width="3.85546875" hidden="1" customWidth="1"/>
    <col min="99" max="99" width="2.140625" hidden="1" customWidth="1"/>
    <col min="100" max="104" width="3.85546875" hidden="1" customWidth="1"/>
    <col min="105" max="105" width="2.140625" hidden="1" customWidth="1"/>
    <col min="106" max="107" width="2" hidden="1" customWidth="1"/>
    <col min="108" max="108" width="4.28515625" bestFit="1" customWidth="1"/>
    <col min="109" max="109" width="6.7109375" bestFit="1" customWidth="1"/>
    <col min="110" max="110" width="4.140625" bestFit="1" customWidth="1"/>
    <col min="111" max="111" width="3.85546875" bestFit="1" customWidth="1"/>
    <col min="112" max="112" width="3.85546875" hidden="1" customWidth="1"/>
    <col min="113" max="113" width="3.85546875" customWidth="1"/>
    <col min="114" max="114" width="10" hidden="1" customWidth="1"/>
    <col min="115" max="124" width="3.85546875" style="2" hidden="1" customWidth="1"/>
    <col min="125" max="129" width="3.85546875" style="9" bestFit="1" customWidth="1"/>
  </cols>
  <sheetData>
    <row r="1" spans="1:129">
      <c r="A1" s="1" t="s">
        <v>124</v>
      </c>
    </row>
    <row r="2" spans="1:129" s="5" customFormat="1" ht="204">
      <c r="A2" s="3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69</v>
      </c>
      <c r="J2" s="4" t="s">
        <v>70</v>
      </c>
      <c r="K2" s="4" t="s">
        <v>71</v>
      </c>
      <c r="L2" s="4" t="s">
        <v>72</v>
      </c>
      <c r="M2" s="4" t="s">
        <v>73</v>
      </c>
      <c r="N2" s="4" t="s">
        <v>119</v>
      </c>
      <c r="O2" s="4" t="s">
        <v>120</v>
      </c>
      <c r="P2" s="4" t="s">
        <v>134</v>
      </c>
      <c r="Q2" s="4" t="s">
        <v>133</v>
      </c>
      <c r="R2" s="4" t="s">
        <v>7</v>
      </c>
      <c r="S2" s="4" t="s">
        <v>11</v>
      </c>
      <c r="T2" s="4" t="s">
        <v>12</v>
      </c>
      <c r="U2" s="4" t="s">
        <v>13</v>
      </c>
      <c r="V2" s="4" t="s">
        <v>14</v>
      </c>
      <c r="W2" s="4" t="s">
        <v>15</v>
      </c>
      <c r="X2" s="4" t="s">
        <v>16</v>
      </c>
      <c r="Y2" s="4" t="s">
        <v>17</v>
      </c>
      <c r="Z2" s="4" t="s">
        <v>18</v>
      </c>
      <c r="AA2" s="4" t="s">
        <v>19</v>
      </c>
      <c r="AB2" s="4" t="s">
        <v>20</v>
      </c>
      <c r="AC2" s="4" t="s">
        <v>21</v>
      </c>
      <c r="AD2" s="4" t="s">
        <v>22</v>
      </c>
      <c r="AE2" s="4" t="s">
        <v>23</v>
      </c>
      <c r="AF2" s="4" t="s">
        <v>24</v>
      </c>
      <c r="AG2" s="4" t="s">
        <v>25</v>
      </c>
      <c r="AH2" s="4" t="s">
        <v>26</v>
      </c>
      <c r="AI2" s="4" t="s">
        <v>27</v>
      </c>
      <c r="AJ2" s="4" t="s">
        <v>28</v>
      </c>
      <c r="AK2" s="4" t="s">
        <v>29</v>
      </c>
      <c r="AL2" s="4" t="s">
        <v>30</v>
      </c>
      <c r="AM2" s="4" t="s">
        <v>31</v>
      </c>
      <c r="AN2" s="4" t="s">
        <v>32</v>
      </c>
      <c r="AO2" s="4" t="s">
        <v>33</v>
      </c>
      <c r="AP2" s="4" t="s">
        <v>34</v>
      </c>
      <c r="AQ2" s="4" t="s">
        <v>104</v>
      </c>
      <c r="AR2" s="4" t="s">
        <v>35</v>
      </c>
      <c r="AS2" s="4" t="s">
        <v>36</v>
      </c>
      <c r="AT2" s="4" t="s">
        <v>37</v>
      </c>
      <c r="AU2" s="4" t="s">
        <v>38</v>
      </c>
      <c r="AV2" s="4" t="s">
        <v>39</v>
      </c>
      <c r="AW2" s="4" t="s">
        <v>40</v>
      </c>
      <c r="AX2" s="4" t="s">
        <v>41</v>
      </c>
      <c r="AY2" s="4" t="s">
        <v>42</v>
      </c>
      <c r="AZ2" s="4" t="s">
        <v>43</v>
      </c>
      <c r="BA2" s="4" t="s">
        <v>44</v>
      </c>
      <c r="BB2" s="4" t="s">
        <v>45</v>
      </c>
      <c r="BC2" s="4" t="s">
        <v>46</v>
      </c>
      <c r="BD2" s="4" t="s">
        <v>47</v>
      </c>
      <c r="BE2" s="4" t="s">
        <v>48</v>
      </c>
      <c r="BF2" s="4" t="s">
        <v>49</v>
      </c>
      <c r="BG2" s="4" t="s">
        <v>50</v>
      </c>
      <c r="BH2" s="4" t="s">
        <v>51</v>
      </c>
      <c r="BI2" s="4" t="s">
        <v>52</v>
      </c>
      <c r="BJ2" s="4" t="s">
        <v>53</v>
      </c>
      <c r="BK2" s="4" t="s">
        <v>54</v>
      </c>
      <c r="BL2" s="4" t="s">
        <v>55</v>
      </c>
      <c r="BM2" s="4" t="s">
        <v>56</v>
      </c>
      <c r="BN2" s="3" t="s">
        <v>10</v>
      </c>
      <c r="BO2" s="4" t="s">
        <v>57</v>
      </c>
      <c r="BP2" s="4" t="s">
        <v>58</v>
      </c>
      <c r="BQ2" s="4" t="s">
        <v>59</v>
      </c>
      <c r="BR2" s="4" t="s">
        <v>60</v>
      </c>
      <c r="BS2" s="4" t="s">
        <v>61</v>
      </c>
      <c r="BT2" s="4" t="s">
        <v>62</v>
      </c>
      <c r="BU2" s="4" t="s">
        <v>63</v>
      </c>
      <c r="BV2" s="4" t="s">
        <v>64</v>
      </c>
      <c r="BW2" s="4" t="s">
        <v>65</v>
      </c>
      <c r="BX2" s="4" t="s">
        <v>66</v>
      </c>
      <c r="BY2" s="4" t="s">
        <v>67</v>
      </c>
      <c r="BZ2" s="4" t="s">
        <v>68</v>
      </c>
      <c r="CA2" s="3" t="s">
        <v>115</v>
      </c>
      <c r="CB2" s="3" t="s">
        <v>116</v>
      </c>
      <c r="CC2" s="3" t="s">
        <v>117</v>
      </c>
      <c r="CD2" s="4"/>
      <c r="CE2" s="4" t="s">
        <v>122</v>
      </c>
      <c r="CF2" s="4" t="s">
        <v>123</v>
      </c>
      <c r="CG2" s="4" t="s">
        <v>85</v>
      </c>
      <c r="CH2" s="4" t="s">
        <v>88</v>
      </c>
      <c r="CI2" s="4" t="s">
        <v>129</v>
      </c>
      <c r="CJ2" s="4" t="s">
        <v>89</v>
      </c>
      <c r="CK2" s="4" t="s">
        <v>132</v>
      </c>
      <c r="CL2" s="4" t="s">
        <v>130</v>
      </c>
      <c r="CM2" s="4" t="s">
        <v>131</v>
      </c>
      <c r="CN2" s="4" t="s">
        <v>95</v>
      </c>
      <c r="CO2" s="4" t="s">
        <v>113</v>
      </c>
      <c r="CP2" s="4" t="s">
        <v>112</v>
      </c>
      <c r="CQ2" s="5" t="s">
        <v>74</v>
      </c>
      <c r="CR2" s="5" t="s">
        <v>83</v>
      </c>
      <c r="CS2" s="5" t="s">
        <v>105</v>
      </c>
      <c r="CT2" s="5" t="s">
        <v>98</v>
      </c>
      <c r="CV2" s="5" t="s">
        <v>106</v>
      </c>
      <c r="CW2" s="5" t="s">
        <v>107</v>
      </c>
      <c r="CX2" s="5" t="s">
        <v>108</v>
      </c>
      <c r="CY2" s="5" t="s">
        <v>109</v>
      </c>
      <c r="CZ2" s="5" t="s">
        <v>111</v>
      </c>
      <c r="DD2" s="5" t="s">
        <v>110</v>
      </c>
      <c r="DE2" s="5" t="s">
        <v>97</v>
      </c>
      <c r="DF2" s="5" t="s">
        <v>94</v>
      </c>
      <c r="DG2" s="5" t="s">
        <v>84</v>
      </c>
      <c r="DH2" s="5" t="s">
        <v>75</v>
      </c>
      <c r="DI2" s="5" t="s">
        <v>76</v>
      </c>
      <c r="DK2" s="4">
        <v>1000</v>
      </c>
      <c r="DL2" s="4">
        <v>100</v>
      </c>
      <c r="DM2" s="4">
        <v>10</v>
      </c>
      <c r="DN2" s="4" t="s">
        <v>77</v>
      </c>
      <c r="DO2" s="4" t="s">
        <v>9</v>
      </c>
      <c r="DP2" s="4" t="s">
        <v>99</v>
      </c>
      <c r="DQ2" s="4" t="s">
        <v>100</v>
      </c>
      <c r="DR2" s="4" t="s">
        <v>101</v>
      </c>
      <c r="DS2" s="4" t="s">
        <v>102</v>
      </c>
      <c r="DT2" s="4" t="s">
        <v>103</v>
      </c>
      <c r="DU2" s="10" t="s">
        <v>78</v>
      </c>
      <c r="DV2" s="10" t="s">
        <v>79</v>
      </c>
      <c r="DW2" s="10" t="s">
        <v>80</v>
      </c>
      <c r="DX2" s="10" t="s">
        <v>81</v>
      </c>
      <c r="DY2" s="10" t="s">
        <v>82</v>
      </c>
    </row>
    <row r="3" spans="1:129">
      <c r="A3" s="1" t="str">
        <f>$DD3&amp;" "&amp;100*$CR3&amp;"%"&amp;" "&amp;TEXT($DF3/1000,"0.0")</f>
        <v>1R 1% 0.2</v>
      </c>
      <c r="B3" t="str">
        <f>"Resistor"&amp;" "&amp;$DD3&amp;" "&amp;100*$CR3&amp;"%"&amp; " AXIAL-"&amp;TEXT($DF3/1000,"0.0")</f>
        <v>Resistor 1R 1% AXIAL-0.2</v>
      </c>
      <c r="C3" s="2">
        <v>5000268</v>
      </c>
      <c r="D3" s="2" t="s">
        <v>125</v>
      </c>
      <c r="E3" s="2" t="str">
        <f>"="&amp;VLOOKUP($DG3,Sheet2!$B$2:$Q$9,MATCH(MID(E$2,8,LEN(E$2)-17),Sheet2!$B$1:$Q$1,0))&amp;"mm"</f>
        <v>=3.5mm</v>
      </c>
      <c r="F3" s="2" t="str">
        <f>"="&amp;VLOOKUP($DG3,Sheet2!$B$2:$Q$9,MATCH(MID(F$2,8,LEN(F$2)-17),Sheet2!$B$1:$Q$1,0))&amp;"mm"</f>
        <v>=1.85mm</v>
      </c>
      <c r="G3" s="2" t="str">
        <f>"="&amp;VLOOKUP($DG3,Sheet2!$B$2:$Q$9,MATCH(MID(G$2,8,LEN(G$2)-17),Sheet2!$B$1:$Q$1,0))&amp;"mm"</f>
        <v>=1.57mm</v>
      </c>
      <c r="H3" s="2" t="str">
        <f>"="&amp;VLOOKUP($DG3,Sheet2!$B$2:$Q$9,MATCH(MID(H$2,8,LEN(H$2)-17),Sheet2!$B$1:$Q$1,0))&amp;"mm"</f>
        <v>=0.5mm</v>
      </c>
      <c r="I3" s="2" t="str">
        <f>"="&amp;VLOOKUP($DG3,Sheet2!$B$2:$Q$9,MATCH(MID(I$2,8,LEN(I$2)-17),Sheet2!$B$1:$Q$1,0))&amp;"mm"</f>
        <v>=1.39mm</v>
      </c>
      <c r="J3" s="2" t="str">
        <f>"="&amp;VLOOKUP($DG3,Sheet2!$B$2:$Q$9,MATCH(MID(J$2,8,LEN(J$2)-17),Sheet2!$B$1:$Q$1,0))&amp;"mm"</f>
        <v>=0.21mm</v>
      </c>
      <c r="K3" s="2" t="str">
        <f>"="&amp;VLOOKUP($DG3,Sheet2!$B$2:$Q$9,MATCH(MID(K$2,8,LEN(K$2)-17),Sheet2!$B$1:$Q$1,0))&amp;"mm"</f>
        <v>=0.6mm</v>
      </c>
      <c r="L3" s="2" t="str">
        <f>"="&amp;VLOOKUP($DG3,Sheet2!$B$2:$Q$9,MATCH(MID(L$2,8,LEN(L$2)-17),Sheet2!$B$1:$Q$1,0))&amp;"mm"</f>
        <v>=0.45mm</v>
      </c>
      <c r="M3" s="2" t="str">
        <f>"="&amp;VLOOKUP($DG3,Sheet2!$B$2:$Q$9,MATCH(MID(M$2,8,LEN(M$2)-17),Sheet2!$B$1:$Q$1,0))&amp;"mm"</f>
        <v>=5.08mm</v>
      </c>
      <c r="N3" s="2" t="str">
        <f>"="&amp;VLOOKUP($DI3+2,Sheet2!$U$1:$X$4,MATCH(MID(N$2,8,LEN(N$2)-17),Sheet2!$U$1:$X$1,0))</f>
        <v>=0.22</v>
      </c>
      <c r="O3" s="2" t="str">
        <f>"="&amp;VLOOKUP($DI3+2,Sheet2!$U$1:$X$4,MATCH(MID(O$2,8,LEN(O$2)-17),Sheet2!$U$1:$X$1,0))</f>
        <v>=0.275</v>
      </c>
      <c r="P3" s="2" t="str">
        <f>"="&amp;VLOOKUP($DG3,Sheet2!$B$2:$Q$9,MATCH(MID(P$2,8,LEN(P$2)-17),Sheet2!$B$1:$Q$1,0))&amp;"mm"</f>
        <v>=0.04mm</v>
      </c>
      <c r="Q3" s="25" t="str">
        <f>"="&amp;ROUNDDOWN(MIN($CK3,$CM3),2)&amp;"mm"</f>
        <v>=0.33mm</v>
      </c>
      <c r="R3" s="2" t="s">
        <v>8</v>
      </c>
      <c r="S3" s="11" t="str">
        <f>IF(INDEX($DU3:$DY3,1,MATCH(MID(S$2,8,5),$DU$2:$DY$2,0))=RIGHT(S$2,2),"U","S")</f>
        <v>S</v>
      </c>
      <c r="T3" s="11" t="str">
        <f>IF(INDEX($DU3:$DY3,1,MATCH(MID(T$2,8,5),$DU$2:$DY$2,0))=RIGHT(T$2,2),"U","S")</f>
        <v>S</v>
      </c>
      <c r="U3" s="11" t="str">
        <f>IF(INDEX($DU3:$DY3,1,MATCH(MID(U$2,8,5),$DU$2:$DY$2,0))=RIGHT(U$2,2),"U","S")</f>
        <v>U</v>
      </c>
      <c r="V3" s="11" t="str">
        <f>IF(INDEX($DU3:$DY3,1,MATCH(MID(V$2,8,5),$DU$2:$DY$2,0))=RIGHT(V$2,2),"U","S")</f>
        <v>S</v>
      </c>
      <c r="W3" s="11" t="str">
        <f>IF(INDEX($DU3:$DY3,1,MATCH(MID(W$2,8,5),$DU$2:$DY$2,0))=RIGHT(W$2,2),"U","S")</f>
        <v>S</v>
      </c>
      <c r="X3" s="11" t="str">
        <f>IF(INDEX($DU3:$DY3,1,MATCH(MID(X$2,8,5),$DU$2:$DY$2,0))=RIGHT(X$2,2),"U","S")</f>
        <v>S</v>
      </c>
      <c r="Y3" s="11" t="str">
        <f>IF(INDEX($DU3:$DY3,1,MATCH(MID(Y$2,8,5),$DU$2:$DY$2,0))=RIGHT(Y$2,2),"U","S")</f>
        <v>S</v>
      </c>
      <c r="Z3" s="11" t="str">
        <f>IF(INDEX($DU3:$DY3,1,MATCH(MID(Z$2,8,5),$DU$2:$DY$2,0))=RIGHT(Z$2,2),"U","S")</f>
        <v>S</v>
      </c>
      <c r="AA3" s="11" t="str">
        <f>IF(INDEX($DU3:$DY3,1,MATCH(MID(AA$2,8,5),$DU$2:$DY$2,0))=RIGHT(AA$2,2),"U","S")</f>
        <v>S</v>
      </c>
      <c r="AB3" s="11" t="str">
        <f>IF(INDEX($DU3:$DY3,1,MATCH(MID(AB$2,8,5),$DU$2:$DY$2,0))=RIGHT(AB$2,2),"U","S")</f>
        <v>S</v>
      </c>
      <c r="AC3" s="11" t="str">
        <f>IF(INDEX($DU3:$DY3,1,MATCH(MID(AC$2,8,5),$DU$2:$DY$2,0))=RIGHT(AC$2,2),"U","S")</f>
        <v>S</v>
      </c>
      <c r="AD3" s="11" t="str">
        <f>IF(INDEX($DU3:$DY3,1,MATCH(MID(AD$2,8,5),$DU$2:$DY$2,0))=RIGHT(AD$2,2),"U","S")</f>
        <v>S</v>
      </c>
      <c r="AE3" s="11" t="str">
        <f>IF(INDEX($DU3:$DY3,1,MATCH(MID(AE$2,8,5),$DU$2:$DY$2,0))=RIGHT(AE$2,2),"U","S")</f>
        <v>U</v>
      </c>
      <c r="AF3" s="11" t="str">
        <f>IF(INDEX($DU3:$DY3,1,MATCH(MID(AF$2,8,5),$DU$2:$DY$2,0))=RIGHT(AF$2,2),"U","S")</f>
        <v>S</v>
      </c>
      <c r="AG3" s="11" t="str">
        <f>IF(INDEX($DU3:$DY3,1,MATCH(MID(AG$2,8,5),$DU$2:$DY$2,0))=RIGHT(AG$2,2),"U","S")</f>
        <v>S</v>
      </c>
      <c r="AH3" s="11" t="str">
        <f>IF(INDEX($DU3:$DY3,1,MATCH(MID(AH$2,8,5),$DU$2:$DY$2,0))=RIGHT(AH$2,2),"U","S")</f>
        <v>S</v>
      </c>
      <c r="AI3" s="11" t="str">
        <f>IF(INDEX($DU3:$DY3,1,MATCH(MID(AI$2,8,5),$DU$2:$DY$2,0))=RIGHT(AI$2,2),"U","S")</f>
        <v>S</v>
      </c>
      <c r="AJ3" s="11" t="str">
        <f>IF(INDEX($DU3:$DY3,1,MATCH(MID(AJ$2,8,5),$DU$2:$DY$2,0))=RIGHT(AJ$2,2),"U","S")</f>
        <v>S</v>
      </c>
      <c r="AK3" s="11" t="str">
        <f>IF(INDEX($DU3:$DY3,1,MATCH(MID(AK$2,8,5),$DU$2:$DY$2,0))=RIGHT(AK$2,2),"U","S")</f>
        <v>S</v>
      </c>
      <c r="AL3" s="11" t="str">
        <f>IF(INDEX($DU3:$DY3,1,MATCH(MID(AL$2,8,5),$DU$2:$DY$2,0))=RIGHT(AL$2,2),"U","S")</f>
        <v>S</v>
      </c>
      <c r="AM3" s="11" t="str">
        <f>IF(INDEX($DU3:$DY3,1,MATCH(MID(AM$2,8,5),$DU$2:$DY$2,0))=RIGHT(AM$2,2),"U","S")</f>
        <v>S</v>
      </c>
      <c r="AN3" s="11" t="str">
        <f>IF(INDEX($DU3:$DY3,1,MATCH(MID(AN$2,8,5),$DU$2:$DY$2,0))=RIGHT(AN$2,2),"U","S")</f>
        <v>S</v>
      </c>
      <c r="AO3" s="11" t="str">
        <f>IF(INDEX($DU3:$DY3,1,MATCH(MID(AO$2,8,5),$DU$2:$DY$2,0))=RIGHT(AO$2,2),"U","S")</f>
        <v>S</v>
      </c>
      <c r="AP3" s="11" t="str">
        <f>IF(INDEX($DU3:$DY3,1,MATCH(MID(AP$2,8,5),$DU$2:$DY$2,0))=RIGHT(AP$2,2),"U","S")</f>
        <v>S</v>
      </c>
      <c r="AQ3" s="11" t="str">
        <f>IF(INDEX($DU3:$DY3,1,MATCH(MID(AQ$2,8,5),$DU$2:$DY$2,0))=RIGHT(AQ$2,2),"U","S")</f>
        <v>U</v>
      </c>
      <c r="AR3" s="11" t="str">
        <f>IF(INDEX($DU3:$DY3,1,MATCH(MID(AR$2,8,5),$DU$2:$DY$2,0))=RIGHT(AR$2,2),"U","S")</f>
        <v>S</v>
      </c>
      <c r="AS3" s="11" t="str">
        <f>IF(INDEX($DU3:$DY3,1,MATCH(MID(AS$2,8,5),$DU$2:$DY$2,0))=RIGHT(AS$2,2),"U","S")</f>
        <v>S</v>
      </c>
      <c r="AT3" s="11" t="str">
        <f>IF(INDEX($DU3:$DY3,1,MATCH(MID(AT$2,8,5),$DU$2:$DY$2,0))=RIGHT(AT$2,2),"U","S")</f>
        <v>S</v>
      </c>
      <c r="AU3" s="11" t="str">
        <f>IF(INDEX($DU3:$DY3,1,MATCH(MID(AU$2,8,5),$DU$2:$DY$2,0))=RIGHT(AU$2,2),"U","S")</f>
        <v>S</v>
      </c>
      <c r="AV3" s="11" t="str">
        <f>IF(INDEX($DU3:$DY3,1,MATCH(MID(AV$2,8,5),$DU$2:$DY$2,0))=RIGHT(AV$2,2),"U","S")</f>
        <v>S</v>
      </c>
      <c r="AW3" s="11" t="str">
        <f>IF(INDEX($DU3:$DY3,1,MATCH(MID(AW$2,8,5),$DU$2:$DY$2,0))=RIGHT(AW$2,2),"U","S")</f>
        <v>S</v>
      </c>
      <c r="AX3" s="11" t="str">
        <f>IF(INDEX($DU3:$DY3,1,MATCH(MID(AX$2,8,5),$DU$2:$DY$2,0))=RIGHT(AX$2,2),"U","S")</f>
        <v>S</v>
      </c>
      <c r="AY3" s="11" t="str">
        <f>IF(INDEX($DU3:$DY3,1,MATCH(MID(AY$2,8,5),$DU$2:$DY$2,0))=RIGHT(AY$2,2),"U","S")</f>
        <v>S</v>
      </c>
      <c r="AZ3" s="11" t="str">
        <f>IF(INDEX($DU3:$DY3,1,MATCH(MID(AZ$2,8,5),$DU$2:$DY$2,0))=RIGHT(AZ$2,2),"U","S")</f>
        <v>S</v>
      </c>
      <c r="BA3" s="11" t="str">
        <f>IF(INDEX($DU3:$DY3,1,MATCH(MID(BA$2,8,5),$DU$2:$DY$2,0))=RIGHT(BA$2,2),"U","S")</f>
        <v>S</v>
      </c>
      <c r="BB3" s="11" t="str">
        <f>IF(INDEX($DU3:$DY3,1,MATCH(MID(BB$2,8,5),$DU$2:$DY$2,0))=RIGHT(BB$2,2),"U","S")</f>
        <v>S</v>
      </c>
      <c r="BC3" s="11" t="str">
        <f>IF(INDEX($DU3:$DY3,1,MATCH(MID(BC$2,8,5),$DU$2:$DY$2,0))=RIGHT(BC$2,2),"U","S")</f>
        <v>S</v>
      </c>
      <c r="BD3" s="11" t="str">
        <f>IF(INDEX($DU3:$DY3,1,MATCH(MID(BD$2,8,5),$DU$2:$DY$2,0))=RIGHT(BD$2,2),"U","S")</f>
        <v>S</v>
      </c>
      <c r="BE3" s="11" t="str">
        <f>IF(INDEX($DU3:$DY3,1,MATCH(MID(BE$2,8,5),$DU$2:$DY$2,0))=RIGHT(BE$2,2),"U","S")</f>
        <v>S</v>
      </c>
      <c r="BF3" s="11" t="str">
        <f>IF(INDEX($DU3:$DY3,1,MATCH(MID(BF$2,8,5),$DU$2:$DY$2,0))=RIGHT(BF$2,2),"U","S")</f>
        <v>S</v>
      </c>
      <c r="BG3" s="11" t="str">
        <f>IF(INDEX($DU3:$DY3,1,MATCH(MID(BG$2,8,5),$DU$2:$DY$2,0))=RIGHT(BG$2,2),"U","S")</f>
        <v>S</v>
      </c>
      <c r="BH3" s="11" t="str">
        <f>IF(INDEX($DU3:$DY3,1,MATCH(MID(BH$2,8,5),$DU$2:$DY$2,0))=RIGHT(BH$2,2),"U","S")</f>
        <v>S</v>
      </c>
      <c r="BI3" s="11" t="str">
        <f>IF(INDEX($DU3:$DY3,1,MATCH(MID(BI$2,8,5),$DU$2:$DY$2,0))=RIGHT(BI$2,2),"U","S")</f>
        <v>S</v>
      </c>
      <c r="BJ3" s="11" t="str">
        <f>IF(INDEX($DU3:$DY3,1,MATCH(MID(BJ$2,8,5),$DU$2:$DY$2,0))=RIGHT(BJ$2,2),"U","S")</f>
        <v>U</v>
      </c>
      <c r="BK3" s="11" t="str">
        <f>IF(INDEX($DU3:$DY3,1,MATCH(MID(BK$2,8,5),$DU$2:$DY$2,0))=RIGHT(BK$2,2),"U","S")</f>
        <v>S</v>
      </c>
      <c r="BL3" s="11" t="str">
        <f>IF(INDEX($DU3:$DY3,1,MATCH(MID(BL$2,8,5),$DU$2:$DY$2,0))=RIGHT(BL$2,2),"U","S")</f>
        <v>S</v>
      </c>
      <c r="BM3" s="11" t="str">
        <f>IF(INDEX($DU3:$DY3,1,MATCH(MID(BM$2,8,5),$DU$2:$DY$2,0))=RIGHT(BM$2,2),"U","S")</f>
        <v>S</v>
      </c>
      <c r="BN3" s="11" t="str">
        <f>IF(INDEX($DU3:$DY3,1,MATCH(MID(BN$2,8,5),$DU$2:$DY$2,0))=RIGHT(BN$2,2),"U","S")</f>
        <v>S</v>
      </c>
      <c r="BO3" s="11" t="str">
        <f>IF(INDEX($DU3:$DY3,1,MATCH(MID(BO$2,8,5),$DU$2:$DY$2,0))=RIGHT(BO$2,2),"U","S")</f>
        <v>S</v>
      </c>
      <c r="BP3" s="11" t="str">
        <f>IF(INDEX($DU3:$DY3,1,MATCH(MID(BP$2,8,5),$DU$2:$DY$2,0))=RIGHT(BP$2,2),"U","S")</f>
        <v>S</v>
      </c>
      <c r="BQ3" s="11" t="str">
        <f>IF(INDEX($DU3:$DY3,1,MATCH(MID(BQ$2,8,5),$DU$2:$DY$2,0))=RIGHT(BQ$2,2),"U","S")</f>
        <v>U</v>
      </c>
      <c r="BR3" s="11" t="str">
        <f>IF(INDEX($DU3:$DY3,1,MATCH(MID(BR$2,8,5),$DU$2:$DY$2,0))=RIGHT(BR$2,2),"U","S")</f>
        <v>S</v>
      </c>
      <c r="BS3" s="11" t="str">
        <f>IF(INDEX($DU3:$DY3,1,MATCH(MID(BS$2,8,5),$DU$2:$DY$2,0))=RIGHT(BS$2,2),"U","S")</f>
        <v>S</v>
      </c>
      <c r="BT3" s="11" t="str">
        <f>IF(INDEX($DU3:$DY3,1,MATCH(MID(BT$2,8,5),$DU$2:$DY$2,0))=RIGHT(BT$2,2),"U","S")</f>
        <v>S</v>
      </c>
      <c r="BU3" s="11" t="str">
        <f>IF(INDEX($DU3:$DY3,1,MATCH(MID(BU$2,8,5),$DU$2:$DY$2,0))=RIGHT(BU$2,2),"U","S")</f>
        <v>S</v>
      </c>
      <c r="BV3" s="11" t="str">
        <f>IF(INDEX($DU3:$DY3,1,MATCH(MID(BV$2,8,5),$DU$2:$DY$2,0))=RIGHT(BV$2,2),"U","S")</f>
        <v>S</v>
      </c>
      <c r="BW3" s="11" t="str">
        <f>IF(INDEX($DU3:$DY3,1,MATCH(MID(BW$2,8,5),$DU$2:$DY$2,0))=RIGHT(BW$2,2),"U","S")</f>
        <v>S</v>
      </c>
      <c r="BX3" s="11" t="str">
        <f>IF(INDEX($DU3:$DY3,1,MATCH(MID(BX$2,8,5),$DU$2:$DY$2,0))=RIGHT(BX$2,2),"U","S")</f>
        <v>S</v>
      </c>
      <c r="BY3" s="11" t="str">
        <f>IF(INDEX($DU3:$DY3,1,MATCH(MID(BY$2,8,5),$DU$2:$DY$2,0))=RIGHT(BY$2,2),"U","S")</f>
        <v>S</v>
      </c>
      <c r="BZ3" s="11" t="str">
        <f>IF(INDEX($DU3:$DY3,1,MATCH(MID(BZ$2,8,5),$DU$2:$DY$2,0))=RIGHT(BZ$2,2),"U","S")</f>
        <v>S</v>
      </c>
      <c r="CA3" s="19" t="s">
        <v>118</v>
      </c>
      <c r="CB3" s="19" t="s">
        <v>118</v>
      </c>
      <c r="CC3" s="19" t="s">
        <v>118</v>
      </c>
      <c r="CD3" s="24"/>
      <c r="CE3" s="2">
        <f>VLOOKUP($DI3+2,Sheet2!$U$1:$X$4,MATCH(CE$2,Sheet2!$U$1:$X$1,0))</f>
        <v>0.22</v>
      </c>
      <c r="CF3" s="2">
        <f>VLOOKUP($DI3+2,Sheet2!$U$1:$X$4,MATCH(CF$2,Sheet2!$U$1:$X$1,0))</f>
        <v>0.27500000000000002</v>
      </c>
      <c r="CG3" s="2">
        <f>VLOOKUP($DG3,Sheet2!$B$2:$Q$9,MATCH(CG$2,Sheet2!$B$1:$Q$1,0))</f>
        <v>3.5</v>
      </c>
      <c r="CH3" s="2">
        <f>VLOOKUP($DG3,Sheet2!$B$2:$Q$9,MATCH(CH$2,Sheet2!$B$1:$Q$1,0))</f>
        <v>1.39</v>
      </c>
      <c r="CI3" s="2">
        <f>VLOOKUP($DG3,Sheet2!$B$2:$Q$9,MATCH(CI$2,Sheet2!$B$1:$Q$1,0))</f>
        <v>0.91500000000000015</v>
      </c>
      <c r="CJ3" s="2">
        <f>VLOOKUP($DG3,Sheet2!$B$2:$Q$9,MATCH(CJ$2,Sheet2!$B$1:$Q$1,0))</f>
        <v>0.21</v>
      </c>
      <c r="CK3" s="2">
        <f>VLOOKUP($DG3,Sheet2!$B$2:$Q$9,MATCH(CK$2,Sheet2!$B$1:$Q$1,0))</f>
        <v>0.33</v>
      </c>
      <c r="CL3" s="22">
        <f>$CE3*($CG3-$CH3)/2</f>
        <v>0.23210000000000003</v>
      </c>
      <c r="CM3" s="23">
        <f>$CI3-$CJ3-$CL3</f>
        <v>0.47290000000000015</v>
      </c>
      <c r="CN3" s="2" t="s">
        <v>96</v>
      </c>
      <c r="CO3">
        <v>10</v>
      </c>
      <c r="CP3">
        <f>IF(AND($CN3=$CN2,$DG2=$DG3),IF($CO3=10,$CP2*10,$CP2),0.1)</f>
        <v>0.1</v>
      </c>
      <c r="CQ3" s="18">
        <f>CO3*CP3</f>
        <v>1</v>
      </c>
      <c r="CR3" s="13">
        <v>0.01</v>
      </c>
      <c r="CS3" s="6" t="b">
        <f t="shared" ref="CS3:CS8" si="0">$DH3/3=INT($DH3/3)</f>
        <v>1</v>
      </c>
      <c r="CT3" s="14" t="str">
        <f t="shared" ref="CT3:CT8" si="1">IF($CS3,"0.0","GENERAL")</f>
        <v>0.0</v>
      </c>
      <c r="CU3" s="14">
        <f t="shared" ref="CU3:CU8" si="2">IF(CQ3&lt;1000,1,IF(CQ3&lt;1000000,1000,1000000))</f>
        <v>1</v>
      </c>
      <c r="CV3" s="14">
        <f>INT($CQ3/$CU3)</f>
        <v>1</v>
      </c>
      <c r="CW3" s="14">
        <f>INT(10*$CQ3/$CU3-10*$CV3)</f>
        <v>0</v>
      </c>
      <c r="CX3" s="14">
        <f>INT(100*$CQ3/$CU3-100*$CV3-10*$CW3)</f>
        <v>0</v>
      </c>
      <c r="CY3" s="14">
        <f>INT(1000*$CQ3/$CU3-1000*$CV3-100*$CW3-10*$CX3)</f>
        <v>0</v>
      </c>
      <c r="CZ3" s="14" t="str">
        <f t="shared" ref="CZ3:CZ8" si="3">CHOOSE(1+LOG($CU3)/3,"R","K","M")</f>
        <v>R</v>
      </c>
      <c r="DA3" s="14" t="str">
        <f t="shared" ref="DA3:DA8" si="4">IF(AND($CY3=0,$CX3=0,$CW3=0),"",$CW3)</f>
        <v/>
      </c>
      <c r="DB3" s="14" t="str">
        <f t="shared" ref="DB3:DB8" si="5">IF(AND($CY3=0,$CX3=0),"",$CX3)</f>
        <v/>
      </c>
      <c r="DC3" s="14" t="str">
        <f t="shared" ref="DC3:DC8" si="6">IF($CY3=0,"",$CY3)</f>
        <v/>
      </c>
      <c r="DD3" s="6" t="str">
        <f t="shared" ref="DD3:DD8" si="7">$CV3&amp;$CZ3&amp;$DA3&amp;$DB3&amp;$DC3</f>
        <v>1R</v>
      </c>
      <c r="DE3" s="6" t="str">
        <f t="shared" ref="DE3:DE8" si="8">IF($CQ3&lt;1000,TEXT($CQ3,$CT3)&amp;"R",IF($CQ3&lt;1000000,TEXT($CQ3/1000,$CT3)&amp;"K",TEXT($CQ3/1000000,$CT3)&amp;"M"))</f>
        <v>1.0R</v>
      </c>
      <c r="DF3" s="2">
        <v>200</v>
      </c>
      <c r="DG3" s="2">
        <f>VLOOKUP($DF3,Sheet2!$A$2:$B$15,2,0)</f>
        <v>1</v>
      </c>
      <c r="DH3" s="2">
        <f t="shared" ref="DH3:DH5" si="9">INT(LOG($CQ3,10))</f>
        <v>0</v>
      </c>
      <c r="DI3" s="2">
        <f t="shared" ref="DI3:DI8" si="10">IF($CR3&lt;5%,3,2)</f>
        <v>3</v>
      </c>
      <c r="DJ3" s="7">
        <f t="shared" ref="DJ3:DJ8" si="11">10^$DH3</f>
        <v>1</v>
      </c>
      <c r="DK3" s="2">
        <f>IF(3-LOG(DK$2)&lt;$DI3,IF(1+$DI3-LOG(DK$2)&gt;$DI3,"",INT($CQ3/$DJ3)),"")</f>
        <v>1</v>
      </c>
      <c r="DL3" s="2">
        <f>IF(3-LOG(DL$2)&lt;$DI3,IF(1+$DI3-LOG(DL$2)&gt;$DI3,"",INT(10*$CQ3/$DJ3-10*$DK3)),"")</f>
        <v>0</v>
      </c>
      <c r="DM3" s="2">
        <f>IF(3-LOG(DM$2)&lt;$DI3,IF(1+$DI3-LOG(DM$2)&gt;$DI3,"",INT(100*$CQ3-(100*$DK3*$DJ3+10*$DL3*$DJ3))/$DJ3),"")</f>
        <v>0</v>
      </c>
      <c r="DN3" s="2">
        <f t="shared" ref="DN3:DN8" si="12">1+$DH3-$DI3</f>
        <v>-2</v>
      </c>
      <c r="DO3" s="2">
        <f t="shared" ref="DO3:DO8" si="13">100*CR3</f>
        <v>1</v>
      </c>
      <c r="DP3" s="8" t="str">
        <f t="shared" ref="DP3:DP8" si="14">IF($DK3="","",CHOOSE(3+$DK3,"SR","GD","BK","BN","RD","OR","YL","GN","BL","VT","GY","WT"))</f>
        <v>BN</v>
      </c>
      <c r="DQ3" s="8" t="str">
        <f t="shared" ref="DQ3:DQ8" si="15">IF($DL3="","",CHOOSE(3+$DL3,"SR","GD","BK","BN","RD","OR","YL","GN","BL","VT","GY","WT"))</f>
        <v>BK</v>
      </c>
      <c r="DR3" s="8" t="str">
        <f t="shared" ref="DR3:DR8" si="16">IF($DM3="","",CHOOSE(3+$DM3,"SR","GD","BK","BN","RD","OR","YL","GN","BL","VT","GY","WT"))</f>
        <v>BK</v>
      </c>
      <c r="DS3" s="8" t="str">
        <f t="shared" ref="DS3:DS8" si="17">IF($DN3="","",CHOOSE(3+$DN3,"SR","GD","BK","BN","RD","OR","YL","GN","BL","VT","GY","WT"))</f>
        <v>SR</v>
      </c>
      <c r="DT3" s="8" t="str">
        <f t="shared" ref="DT3:DT8" si="18">IF($DO3="","",IF($DO3&lt;1,CHOOSE(20*$DO3,"GY","VT",,,"BL",,,,,"GN"),CHOOSE($DO3,"BN","RD",,,"GD",,,,,"SR",,,,,,,,,,"")))</f>
        <v>BN</v>
      </c>
      <c r="DU3" s="8" t="str">
        <f t="shared" ref="DU3" si="19">IF(DK3="","",CHOOSE(3+DK3,"SR","GD","BK","BN","RD","OR","YL","GN","BL","VT","GY","WT"))</f>
        <v>BN</v>
      </c>
      <c r="DV3" s="8" t="str">
        <f t="shared" ref="DV3:DV8" si="20">IF($DI3&lt;2,$DS3,DQ3)</f>
        <v>BK</v>
      </c>
      <c r="DW3" s="8" t="str">
        <f t="shared" ref="DW3:DW8" si="21">IF($DI3&lt;2,"",IF($DI3&lt;3,$DS3,DR3))</f>
        <v>BK</v>
      </c>
      <c r="DX3" s="8" t="str">
        <f t="shared" ref="DX3:DX8" si="22">IF($DI3&lt;3,"",DS3)</f>
        <v>SR</v>
      </c>
      <c r="DY3" s="8" t="str">
        <f>DT3</f>
        <v>BN</v>
      </c>
    </row>
    <row r="4" spans="1:129">
      <c r="A4" s="1" t="str">
        <f>$DD4&amp;" "&amp;100*$CR4&amp;"%"&amp;" "&amp;TEXT($DF4/1000,"0.0")</f>
        <v>150R 1% 0.3</v>
      </c>
      <c r="B4" t="str">
        <f>"Resistor"&amp;" "&amp;$DD4&amp;" "&amp;100*$CR4&amp;"%"&amp; " AXIAL-"&amp;TEXT($DF4/1000,"0.0")</f>
        <v>Resistor 150R 1% AXIAL-0.3</v>
      </c>
      <c r="C4" s="2">
        <v>5000268</v>
      </c>
      <c r="D4" s="2" t="s">
        <v>125</v>
      </c>
      <c r="E4" s="2" t="str">
        <f>"="&amp;VLOOKUP($DG4,Sheet2!$B$2:$Q$9,MATCH(MID(E$2,8,LEN(E$2)-17),Sheet2!$B$1:$Q$1,0))&amp;"mm"</f>
        <v>=3.5mm</v>
      </c>
      <c r="F4" s="2" t="str">
        <f>"="&amp;VLOOKUP($DG4,Sheet2!$B$2:$Q$9,MATCH(MID(F$2,8,LEN(F$2)-17),Sheet2!$B$1:$Q$1,0))&amp;"mm"</f>
        <v>=1.85mm</v>
      </c>
      <c r="G4" s="2" t="str">
        <f>"="&amp;VLOOKUP($DG4,Sheet2!$B$2:$Q$9,MATCH(MID(G$2,8,LEN(G$2)-17),Sheet2!$B$1:$Q$1,0))&amp;"mm"</f>
        <v>=1.57mm</v>
      </c>
      <c r="H4" s="2" t="str">
        <f>"="&amp;VLOOKUP($DG4,Sheet2!$B$2:$Q$9,MATCH(MID(H$2,8,LEN(H$2)-17),Sheet2!$B$1:$Q$1,0))&amp;"mm"</f>
        <v>=0.5mm</v>
      </c>
      <c r="I4" s="2" t="str">
        <f>"="&amp;VLOOKUP($DG4,Sheet2!$B$2:$Q$9,MATCH(MID(I$2,8,LEN(I$2)-17),Sheet2!$B$1:$Q$1,0))&amp;"mm"</f>
        <v>=1.39mm</v>
      </c>
      <c r="J4" s="2" t="str">
        <f>"="&amp;VLOOKUP($DG4,Sheet2!$B$2:$Q$9,MATCH(MID(J$2,8,LEN(J$2)-17),Sheet2!$B$1:$Q$1,0))&amp;"mm"</f>
        <v>=0.21mm</v>
      </c>
      <c r="K4" s="2" t="str">
        <f>"="&amp;VLOOKUP($DG4,Sheet2!$B$2:$Q$9,MATCH(MID(K$2,8,LEN(K$2)-17),Sheet2!$B$1:$Q$1,0))&amp;"mm"</f>
        <v>=0.6mm</v>
      </c>
      <c r="L4" s="2" t="str">
        <f>"="&amp;VLOOKUP($DG4,Sheet2!$B$2:$Q$9,MATCH(MID(L$2,8,LEN(L$2)-17),Sheet2!$B$1:$Q$1,0))&amp;"mm"</f>
        <v>=0.45mm</v>
      </c>
      <c r="M4" s="2" t="str">
        <f>"="&amp;VLOOKUP($DG4,Sheet2!$B$2:$Q$9,MATCH(MID(M$2,8,LEN(M$2)-17),Sheet2!$B$1:$Q$1,0))&amp;"mm"</f>
        <v>=7.62mm</v>
      </c>
      <c r="N4" s="2" t="str">
        <f>"="&amp;VLOOKUP($DI4+2,Sheet2!$U$1:$X$4,MATCH(MID(N$2,8,LEN(N$2)-17),Sheet2!$U$1:$X$1,0))</f>
        <v>=0.22</v>
      </c>
      <c r="O4" s="2" t="str">
        <f>"="&amp;VLOOKUP($DI4+2,Sheet2!$U$1:$X$4,MATCH(MID(O$2,8,LEN(O$2)-17),Sheet2!$U$1:$X$1,0))</f>
        <v>=0.275</v>
      </c>
      <c r="P4" s="2" t="str">
        <f>"="&amp;VLOOKUP($DG4,Sheet2!$B$2:$Q$9,MATCH(MID(P$2,8,LEN(P$2)-17),Sheet2!$B$1:$Q$1,0))&amp;"mm"</f>
        <v>=0.04mm</v>
      </c>
      <c r="Q4" s="25" t="str">
        <f t="shared" ref="Q4:Q8" si="23">"="&amp;ROUNDDOWN(MIN($CK4,$CM4),2)&amp;"mm"</f>
        <v>=0.33mm</v>
      </c>
      <c r="R4" s="2" t="s">
        <v>8</v>
      </c>
      <c r="S4" s="11" t="str">
        <f>IF(INDEX($DU4:$DY4,1,MATCH(MID(S$2,8,5),$DU$2:$DY$2,0))=RIGHT(S$2,2),"U","S")</f>
        <v>S</v>
      </c>
      <c r="T4" s="11" t="str">
        <f>IF(INDEX($DU4:$DY4,1,MATCH(MID(T$2,8,5),$DU$2:$DY$2,0))=RIGHT(T$2,2),"U","S")</f>
        <v>S</v>
      </c>
      <c r="U4" s="11" t="str">
        <f>IF(INDEX($DU4:$DY4,1,MATCH(MID(U$2,8,5),$DU$2:$DY$2,0))=RIGHT(U$2,2),"U","S")</f>
        <v>U</v>
      </c>
      <c r="V4" s="11" t="str">
        <f>IF(INDEX($DU4:$DY4,1,MATCH(MID(V$2,8,5),$DU$2:$DY$2,0))=RIGHT(V$2,2),"U","S")</f>
        <v>S</v>
      </c>
      <c r="W4" s="11" t="str">
        <f>IF(INDEX($DU4:$DY4,1,MATCH(MID(W$2,8,5),$DU$2:$DY$2,0))=RIGHT(W$2,2),"U","S")</f>
        <v>S</v>
      </c>
      <c r="X4" s="11" t="str">
        <f>IF(INDEX($DU4:$DY4,1,MATCH(MID(X$2,8,5),$DU$2:$DY$2,0))=RIGHT(X$2,2),"U","S")</f>
        <v>S</v>
      </c>
      <c r="Y4" s="11" t="str">
        <f>IF(INDEX($DU4:$DY4,1,MATCH(MID(Y$2,8,5),$DU$2:$DY$2,0))=RIGHT(Y$2,2),"U","S")</f>
        <v>S</v>
      </c>
      <c r="Z4" s="11" t="str">
        <f>IF(INDEX($DU4:$DY4,1,MATCH(MID(Z$2,8,5),$DU$2:$DY$2,0))=RIGHT(Z$2,2),"U","S")</f>
        <v>S</v>
      </c>
      <c r="AA4" s="11" t="str">
        <f>IF(INDEX($DU4:$DY4,1,MATCH(MID(AA$2,8,5),$DU$2:$DY$2,0))=RIGHT(AA$2,2),"U","S")</f>
        <v>S</v>
      </c>
      <c r="AB4" s="11" t="str">
        <f>IF(INDEX($DU4:$DY4,1,MATCH(MID(AB$2,8,5),$DU$2:$DY$2,0))=RIGHT(AB$2,2),"U","S")</f>
        <v>S</v>
      </c>
      <c r="AC4" s="11" t="str">
        <f>IF(INDEX($DU4:$DY4,1,MATCH(MID(AC$2,8,5),$DU$2:$DY$2,0))=RIGHT(AC$2,2),"U","S")</f>
        <v>S</v>
      </c>
      <c r="AD4" s="11" t="str">
        <f>IF(INDEX($DU4:$DY4,1,MATCH(MID(AD$2,8,5),$DU$2:$DY$2,0))=RIGHT(AD$2,2),"U","S")</f>
        <v>S</v>
      </c>
      <c r="AE4" s="11" t="str">
        <f>IF(INDEX($DU4:$DY4,1,MATCH(MID(AE$2,8,5),$DU$2:$DY$2,0))=RIGHT(AE$2,2),"U","S")</f>
        <v>S</v>
      </c>
      <c r="AF4" s="11" t="str">
        <f>IF(INDEX($DU4:$DY4,1,MATCH(MID(AF$2,8,5),$DU$2:$DY$2,0))=RIGHT(AF$2,2),"U","S")</f>
        <v>S</v>
      </c>
      <c r="AG4" s="11" t="str">
        <f>IF(INDEX($DU4:$DY4,1,MATCH(MID(AG$2,8,5),$DU$2:$DY$2,0))=RIGHT(AG$2,2),"U","S")</f>
        <v>S</v>
      </c>
      <c r="AH4" s="11" t="str">
        <f>IF(INDEX($DU4:$DY4,1,MATCH(MID(AH$2,8,5),$DU$2:$DY$2,0))=RIGHT(AH$2,2),"U","S")</f>
        <v>S</v>
      </c>
      <c r="AI4" s="11" t="str">
        <f>IF(INDEX($DU4:$DY4,1,MATCH(MID(AI$2,8,5),$DU$2:$DY$2,0))=RIGHT(AI$2,2),"U","S")</f>
        <v>U</v>
      </c>
      <c r="AJ4" s="11" t="str">
        <f>IF(INDEX($DU4:$DY4,1,MATCH(MID(AJ$2,8,5),$DU$2:$DY$2,0))=RIGHT(AJ$2,2),"U","S")</f>
        <v>S</v>
      </c>
      <c r="AK4" s="11" t="str">
        <f>IF(INDEX($DU4:$DY4,1,MATCH(MID(AK$2,8,5),$DU$2:$DY$2,0))=RIGHT(AK$2,2),"U","S")</f>
        <v>S</v>
      </c>
      <c r="AL4" s="11" t="str">
        <f>IF(INDEX($DU4:$DY4,1,MATCH(MID(AL$2,8,5),$DU$2:$DY$2,0))=RIGHT(AL$2,2),"U","S")</f>
        <v>S</v>
      </c>
      <c r="AM4" s="11" t="str">
        <f>IF(INDEX($DU4:$DY4,1,MATCH(MID(AM$2,8,5),$DU$2:$DY$2,0))=RIGHT(AM$2,2),"U","S")</f>
        <v>S</v>
      </c>
      <c r="AN4" s="11" t="str">
        <f>IF(INDEX($DU4:$DY4,1,MATCH(MID(AN$2,8,5),$DU$2:$DY$2,0))=RIGHT(AN$2,2),"U","S")</f>
        <v>S</v>
      </c>
      <c r="AO4" s="11" t="str">
        <f>IF(INDEX($DU4:$DY4,1,MATCH(MID(AO$2,8,5),$DU$2:$DY$2,0))=RIGHT(AO$2,2),"U","S")</f>
        <v>S</v>
      </c>
      <c r="AP4" s="11" t="str">
        <f>IF(INDEX($DU4:$DY4,1,MATCH(MID(AP$2,8,5),$DU$2:$DY$2,0))=RIGHT(AP$2,2),"U","S")</f>
        <v>S</v>
      </c>
      <c r="AQ4" s="11" t="str">
        <f>IF(INDEX($DU4:$DY4,1,MATCH(MID(AQ$2,8,5),$DU$2:$DY$2,0))=RIGHT(AQ$2,2),"U","S")</f>
        <v>U</v>
      </c>
      <c r="AR4" s="11" t="str">
        <f>IF(INDEX($DU4:$DY4,1,MATCH(MID(AR$2,8,5),$DU$2:$DY$2,0))=RIGHT(AR$2,2),"U","S")</f>
        <v>S</v>
      </c>
      <c r="AS4" s="11" t="str">
        <f>IF(INDEX($DU4:$DY4,1,MATCH(MID(AS$2,8,5),$DU$2:$DY$2,0))=RIGHT(AS$2,2),"U","S")</f>
        <v>S</v>
      </c>
      <c r="AT4" s="11" t="str">
        <f>IF(INDEX($DU4:$DY4,1,MATCH(MID(AT$2,8,5),$DU$2:$DY$2,0))=RIGHT(AT$2,2),"U","S")</f>
        <v>S</v>
      </c>
      <c r="AU4" s="11" t="str">
        <f>IF(INDEX($DU4:$DY4,1,MATCH(MID(AU$2,8,5),$DU$2:$DY$2,0))=RIGHT(AU$2,2),"U","S")</f>
        <v>S</v>
      </c>
      <c r="AV4" s="11" t="str">
        <f>IF(INDEX($DU4:$DY4,1,MATCH(MID(AV$2,8,5),$DU$2:$DY$2,0))=RIGHT(AV$2,2),"U","S")</f>
        <v>S</v>
      </c>
      <c r="AW4" s="11" t="str">
        <f>IF(INDEX($DU4:$DY4,1,MATCH(MID(AW$2,8,5),$DU$2:$DY$2,0))=RIGHT(AW$2,2),"U","S")</f>
        <v>S</v>
      </c>
      <c r="AX4" s="11" t="str">
        <f>IF(INDEX($DU4:$DY4,1,MATCH(MID(AX$2,8,5),$DU$2:$DY$2,0))=RIGHT(AX$2,2),"U","S")</f>
        <v>S</v>
      </c>
      <c r="AY4" s="11" t="str">
        <f>IF(INDEX($DU4:$DY4,1,MATCH(MID(AY$2,8,5),$DU$2:$DY$2,0))=RIGHT(AY$2,2),"U","S")</f>
        <v>S</v>
      </c>
      <c r="AZ4" s="11" t="str">
        <f>IF(INDEX($DU4:$DY4,1,MATCH(MID(AZ$2,8,5),$DU$2:$DY$2,0))=RIGHT(AZ$2,2),"U","S")</f>
        <v>S</v>
      </c>
      <c r="BA4" s="11" t="str">
        <f>IF(INDEX($DU4:$DY4,1,MATCH(MID(BA$2,8,5),$DU$2:$DY$2,0))=RIGHT(BA$2,2),"U","S")</f>
        <v>S</v>
      </c>
      <c r="BB4" s="11" t="str">
        <f>IF(INDEX($DU4:$DY4,1,MATCH(MID(BB$2,8,5),$DU$2:$DY$2,0))=RIGHT(BB$2,2),"U","S")</f>
        <v>S</v>
      </c>
      <c r="BC4" s="11" t="str">
        <f>IF(INDEX($DU4:$DY4,1,MATCH(MID(BC$2,8,5),$DU$2:$DY$2,0))=RIGHT(BC$2,2),"U","S")</f>
        <v>U</v>
      </c>
      <c r="BD4" s="11" t="str">
        <f>IF(INDEX($DU4:$DY4,1,MATCH(MID(BD$2,8,5),$DU$2:$DY$2,0))=RIGHT(BD$2,2),"U","S")</f>
        <v>S</v>
      </c>
      <c r="BE4" s="11" t="str">
        <f>IF(INDEX($DU4:$DY4,1,MATCH(MID(BE$2,8,5),$DU$2:$DY$2,0))=RIGHT(BE$2,2),"U","S")</f>
        <v>S</v>
      </c>
      <c r="BF4" s="11" t="str">
        <f>IF(INDEX($DU4:$DY4,1,MATCH(MID(BF$2,8,5),$DU$2:$DY$2,0))=RIGHT(BF$2,2),"U","S")</f>
        <v>S</v>
      </c>
      <c r="BG4" s="11" t="str">
        <f>IF(INDEX($DU4:$DY4,1,MATCH(MID(BG$2,8,5),$DU$2:$DY$2,0))=RIGHT(BG$2,2),"U","S")</f>
        <v>S</v>
      </c>
      <c r="BH4" s="11" t="str">
        <f>IF(INDEX($DU4:$DY4,1,MATCH(MID(BH$2,8,5),$DU$2:$DY$2,0))=RIGHT(BH$2,2),"U","S")</f>
        <v>S</v>
      </c>
      <c r="BI4" s="11" t="str">
        <f>IF(INDEX($DU4:$DY4,1,MATCH(MID(BI$2,8,5),$DU$2:$DY$2,0))=RIGHT(BI$2,2),"U","S")</f>
        <v>S</v>
      </c>
      <c r="BJ4" s="11" t="str">
        <f>IF(INDEX($DU4:$DY4,1,MATCH(MID(BJ$2,8,5),$DU$2:$DY$2,0))=RIGHT(BJ$2,2),"U","S")</f>
        <v>S</v>
      </c>
      <c r="BK4" s="11" t="str">
        <f>IF(INDEX($DU4:$DY4,1,MATCH(MID(BK$2,8,5),$DU$2:$DY$2,0))=RIGHT(BK$2,2),"U","S")</f>
        <v>S</v>
      </c>
      <c r="BL4" s="11" t="str">
        <f>IF(INDEX($DU4:$DY4,1,MATCH(MID(BL$2,8,5),$DU$2:$DY$2,0))=RIGHT(BL$2,2),"U","S")</f>
        <v>S</v>
      </c>
      <c r="BM4" s="11" t="str">
        <f>IF(INDEX($DU4:$DY4,1,MATCH(MID(BM$2,8,5),$DU$2:$DY$2,0))=RIGHT(BM$2,2),"U","S")</f>
        <v>S</v>
      </c>
      <c r="BN4" s="11" t="str">
        <f>IF(INDEX($DU4:$DY4,1,MATCH(MID(BN$2,8,5),$DU$2:$DY$2,0))=RIGHT(BN$2,2),"U","S")</f>
        <v>S</v>
      </c>
      <c r="BO4" s="11" t="str">
        <f>IF(INDEX($DU4:$DY4,1,MATCH(MID(BO$2,8,5),$DU$2:$DY$2,0))=RIGHT(BO$2,2),"U","S")</f>
        <v>S</v>
      </c>
      <c r="BP4" s="11" t="str">
        <f>IF(INDEX($DU4:$DY4,1,MATCH(MID(BP$2,8,5),$DU$2:$DY$2,0))=RIGHT(BP$2,2),"U","S")</f>
        <v>S</v>
      </c>
      <c r="BQ4" s="11" t="str">
        <f>IF(INDEX($DU4:$DY4,1,MATCH(MID(BQ$2,8,5),$DU$2:$DY$2,0))=RIGHT(BQ$2,2),"U","S")</f>
        <v>U</v>
      </c>
      <c r="BR4" s="11" t="str">
        <f>IF(INDEX($DU4:$DY4,1,MATCH(MID(BR$2,8,5),$DU$2:$DY$2,0))=RIGHT(BR$2,2),"U","S")</f>
        <v>S</v>
      </c>
      <c r="BS4" s="11" t="str">
        <f>IF(INDEX($DU4:$DY4,1,MATCH(MID(BS$2,8,5),$DU$2:$DY$2,0))=RIGHT(BS$2,2),"U","S")</f>
        <v>S</v>
      </c>
      <c r="BT4" s="11" t="str">
        <f>IF(INDEX($DU4:$DY4,1,MATCH(MID(BT$2,8,5),$DU$2:$DY$2,0))=RIGHT(BT$2,2),"U","S")</f>
        <v>S</v>
      </c>
      <c r="BU4" s="11" t="str">
        <f>IF(INDEX($DU4:$DY4,1,MATCH(MID(BU$2,8,5),$DU$2:$DY$2,0))=RIGHT(BU$2,2),"U","S")</f>
        <v>S</v>
      </c>
      <c r="BV4" s="11" t="str">
        <f>IF(INDEX($DU4:$DY4,1,MATCH(MID(BV$2,8,5),$DU$2:$DY$2,0))=RIGHT(BV$2,2),"U","S")</f>
        <v>S</v>
      </c>
      <c r="BW4" s="11" t="str">
        <f>IF(INDEX($DU4:$DY4,1,MATCH(MID(BW$2,8,5),$DU$2:$DY$2,0))=RIGHT(BW$2,2),"U","S")</f>
        <v>S</v>
      </c>
      <c r="BX4" s="11" t="str">
        <f>IF(INDEX($DU4:$DY4,1,MATCH(MID(BX$2,8,5),$DU$2:$DY$2,0))=RIGHT(BX$2,2),"U","S")</f>
        <v>S</v>
      </c>
      <c r="BY4" s="11" t="str">
        <f>IF(INDEX($DU4:$DY4,1,MATCH(MID(BY$2,8,5),$DU$2:$DY$2,0))=RIGHT(BY$2,2),"U","S")</f>
        <v>S</v>
      </c>
      <c r="BZ4" s="11" t="str">
        <f>IF(INDEX($DU4:$DY4,1,MATCH(MID(BZ$2,8,5),$DU$2:$DY$2,0))=RIGHT(BZ$2,2),"U","S")</f>
        <v>S</v>
      </c>
      <c r="CA4" s="19" t="s">
        <v>118</v>
      </c>
      <c r="CB4" s="19" t="s">
        <v>118</v>
      </c>
      <c r="CC4" s="19" t="s">
        <v>118</v>
      </c>
      <c r="CD4" s="24"/>
      <c r="CE4" s="2">
        <f>VLOOKUP($DI4+2,Sheet2!$U$1:$X$4,MATCH(CE$2,Sheet2!$U$1:$X$1,0))</f>
        <v>0.22</v>
      </c>
      <c r="CF4" s="2">
        <f>VLOOKUP($DI4+2,Sheet2!$U$1:$X$4,MATCH(CF$2,Sheet2!$U$1:$X$1,0))</f>
        <v>0.27500000000000002</v>
      </c>
      <c r="CG4" s="2">
        <f>VLOOKUP($DG4,Sheet2!$B$2:$Q$9,MATCH(CG$2,Sheet2!$B$1:$Q$1,0))</f>
        <v>3.5</v>
      </c>
      <c r="CH4" s="2">
        <f>VLOOKUP($DG4,Sheet2!$B$2:$Q$9,MATCH(CH$2,Sheet2!$B$1:$Q$1,0))</f>
        <v>1.39</v>
      </c>
      <c r="CI4" s="2">
        <f>VLOOKUP($DG4,Sheet2!$B$2:$Q$9,MATCH(CI$2,Sheet2!$B$1:$Q$1,0))</f>
        <v>0.91500000000000015</v>
      </c>
      <c r="CJ4" s="2">
        <f>VLOOKUP($DG4,Sheet2!$B$2:$Q$9,MATCH(CJ$2,Sheet2!$B$1:$Q$1,0))</f>
        <v>0.21</v>
      </c>
      <c r="CK4" s="2">
        <f>VLOOKUP($DG4,Sheet2!$B$2:$Q$9,MATCH(CK$2,Sheet2!$B$1:$Q$1,0))</f>
        <v>0.33</v>
      </c>
      <c r="CL4" s="22">
        <f t="shared" ref="CL4:CL8" si="24">$CE4*($CG4-$CH4)/2</f>
        <v>0.23210000000000003</v>
      </c>
      <c r="CM4" s="23">
        <f t="shared" ref="CM4:CM8" si="25">$CI4-$CJ4-$CL4</f>
        <v>0.47290000000000015</v>
      </c>
      <c r="CN4" s="2" t="s">
        <v>96</v>
      </c>
      <c r="CO4">
        <v>15</v>
      </c>
      <c r="CP4">
        <v>10</v>
      </c>
      <c r="CQ4" s="18">
        <f t="shared" ref="CQ4:CQ8" si="26">CO4*CP4</f>
        <v>150</v>
      </c>
      <c r="CR4" s="13">
        <v>0.01</v>
      </c>
      <c r="CS4" s="6" t="b">
        <f t="shared" si="0"/>
        <v>0</v>
      </c>
      <c r="CT4" s="14" t="str">
        <f t="shared" si="1"/>
        <v>GENERAL</v>
      </c>
      <c r="CU4" s="14">
        <f t="shared" si="2"/>
        <v>1</v>
      </c>
      <c r="CV4" s="14">
        <f>INT($CQ4/$CU4)</f>
        <v>150</v>
      </c>
      <c r="CW4" s="14">
        <f>INT(10*$CQ4/$CU4-10*$CV4)</f>
        <v>0</v>
      </c>
      <c r="CX4" s="14">
        <f>INT(100*$CQ4/$CU4-100*$CV4-10*$CW4)</f>
        <v>0</v>
      </c>
      <c r="CY4" s="14">
        <f>INT(1000*$CQ4/$CU4-1000*$CV4-100*$CW4-10*$CX4)</f>
        <v>0</v>
      </c>
      <c r="CZ4" s="14" t="str">
        <f t="shared" si="3"/>
        <v>R</v>
      </c>
      <c r="DA4" s="14" t="str">
        <f t="shared" si="4"/>
        <v/>
      </c>
      <c r="DB4" s="14" t="str">
        <f t="shared" si="5"/>
        <v/>
      </c>
      <c r="DC4" s="14" t="str">
        <f t="shared" si="6"/>
        <v/>
      </c>
      <c r="DD4" s="6" t="str">
        <f t="shared" si="7"/>
        <v>150R</v>
      </c>
      <c r="DE4" s="6" t="str">
        <f t="shared" si="8"/>
        <v>150R</v>
      </c>
      <c r="DF4" s="2">
        <v>300</v>
      </c>
      <c r="DG4" s="2">
        <f>VLOOKUP($DF4,Sheet2!$A$2:$B$15,2,0)</f>
        <v>2</v>
      </c>
      <c r="DH4" s="2">
        <f t="shared" si="9"/>
        <v>2</v>
      </c>
      <c r="DI4" s="2">
        <f t="shared" si="10"/>
        <v>3</v>
      </c>
      <c r="DJ4" s="7">
        <f t="shared" si="11"/>
        <v>100</v>
      </c>
      <c r="DK4" s="2">
        <f>IF(3-LOG(DK$2)&lt;$DI4,IF(1+$DI4-LOG(DK$2)&gt;$DI4,"",INT($CQ4/$DJ4)),"")</f>
        <v>1</v>
      </c>
      <c r="DL4" s="2">
        <f>IF(3-LOG(DL$2)&lt;$DI4,IF(1+$DI4-LOG(DL$2)&gt;$DI4,"",INT(10*$CQ4/$DJ4-10*$DK4)),"")</f>
        <v>5</v>
      </c>
      <c r="DM4" s="2">
        <f>IF(3-LOG(DM$2)&lt;$DI4,IF(1+$DI4-LOG(DM$2)&gt;$DI4,"",INT(100*$CQ4-(100*$DK4*$DJ4+10*$DL4*$DJ4))/$DJ4),"")</f>
        <v>0</v>
      </c>
      <c r="DN4" s="2">
        <f t="shared" si="12"/>
        <v>0</v>
      </c>
      <c r="DO4" s="2">
        <f t="shared" si="13"/>
        <v>1</v>
      </c>
      <c r="DP4" s="8" t="str">
        <f t="shared" si="14"/>
        <v>BN</v>
      </c>
      <c r="DQ4" s="8" t="str">
        <f t="shared" si="15"/>
        <v>GN</v>
      </c>
      <c r="DR4" s="8" t="str">
        <f t="shared" si="16"/>
        <v>BK</v>
      </c>
      <c r="DS4" s="8" t="str">
        <f t="shared" si="17"/>
        <v>BK</v>
      </c>
      <c r="DT4" s="8" t="str">
        <f t="shared" si="18"/>
        <v>BN</v>
      </c>
      <c r="DU4" s="8" t="str">
        <f t="shared" ref="DU4:DU8" si="27">IF(DK4="","",CHOOSE(3+DK4,"SR","GD","BK","BN","RD","OR","YL","GN","BL","VT","GY","WT"))</f>
        <v>BN</v>
      </c>
      <c r="DV4" s="8" t="str">
        <f t="shared" si="20"/>
        <v>GN</v>
      </c>
      <c r="DW4" s="8" t="str">
        <f t="shared" si="21"/>
        <v>BK</v>
      </c>
      <c r="DX4" s="8" t="str">
        <f t="shared" si="22"/>
        <v>BK</v>
      </c>
      <c r="DY4" s="8" t="str">
        <f t="shared" ref="DY4" si="28">IF(DO4="","",IF(DO4&lt;1,CHOOSE(20*DO4,"GY","VT",,,"BL",,,,,"GN"),CHOOSE(DO4,"BN","RD",,,"GD",,,,,"SR",,,,,,,,,,"")))</f>
        <v>BN</v>
      </c>
    </row>
    <row r="5" spans="1:129">
      <c r="A5" s="1" t="str">
        <f>$DD5&amp;" "&amp;100*$CR5&amp;"%"&amp;" "&amp;TEXT($DF5/1000,"0.0")</f>
        <v>3K3 1% 0.4</v>
      </c>
      <c r="B5" t="str">
        <f>"Resistor"&amp;" "&amp;$DD5&amp;" "&amp;100*$CR5&amp;"%"&amp; " AXIAL-"&amp;TEXT($DF5/1000,"0.0")</f>
        <v>Resistor 3K3 1% AXIAL-0.4</v>
      </c>
      <c r="C5" s="2">
        <v>5000268</v>
      </c>
      <c r="D5" s="2" t="s">
        <v>125</v>
      </c>
      <c r="E5" s="2" t="str">
        <f>"="&amp;VLOOKUP($DG5,Sheet2!$B$2:$Q$9,MATCH(MID(E$2,8,LEN(E$2)-17),Sheet2!$B$1:$Q$1,0))&amp;"mm"</f>
        <v>=6.8mm</v>
      </c>
      <c r="F5" s="2" t="str">
        <f>"="&amp;VLOOKUP($DG5,Sheet2!$B$2:$Q$9,MATCH(MID(F$2,8,LEN(F$2)-17),Sheet2!$B$1:$Q$1,0))&amp;"mm"</f>
        <v>=2.5mm</v>
      </c>
      <c r="G5" s="2" t="str">
        <f>"="&amp;VLOOKUP($DG5,Sheet2!$B$2:$Q$9,MATCH(MID(G$2,8,LEN(G$2)-17),Sheet2!$B$1:$Q$1,0))&amp;"mm"</f>
        <v>=2.13mm</v>
      </c>
      <c r="H5" s="2" t="str">
        <f>"="&amp;VLOOKUP($DG5,Sheet2!$B$2:$Q$9,MATCH(MID(H$2,8,LEN(H$2)-17),Sheet2!$B$1:$Q$1,0))&amp;"mm"</f>
        <v>=0.5mm</v>
      </c>
      <c r="I5" s="2" t="str">
        <f>"="&amp;VLOOKUP($DG5,Sheet2!$B$2:$Q$9,MATCH(MID(I$2,8,LEN(I$2)-17),Sheet2!$B$1:$Q$1,0))&amp;"mm"</f>
        <v>=2.7mm</v>
      </c>
      <c r="J5" s="2" t="str">
        <f>"="&amp;VLOOKUP($DG5,Sheet2!$B$2:$Q$9,MATCH(MID(J$2,8,LEN(J$2)-17),Sheet2!$B$1:$Q$1,0))&amp;"mm"</f>
        <v>=0.4mm</v>
      </c>
      <c r="K5" s="2" t="str">
        <f>"="&amp;VLOOKUP($DG5,Sheet2!$B$2:$Q$9,MATCH(MID(K$2,8,LEN(K$2)-17),Sheet2!$B$1:$Q$1,0))&amp;"mm"</f>
        <v>=0.8mm</v>
      </c>
      <c r="L5" s="2" t="str">
        <f>"="&amp;VLOOKUP($DG5,Sheet2!$B$2:$Q$9,MATCH(MID(L$2,8,LEN(L$2)-17),Sheet2!$B$1:$Q$1,0))&amp;"mm"</f>
        <v>=0.54mm</v>
      </c>
      <c r="M5" s="2" t="str">
        <f>"="&amp;VLOOKUP($DG5,Sheet2!$B$2:$Q$9,MATCH(MID(M$2,8,LEN(M$2)-17),Sheet2!$B$1:$Q$1,0))&amp;"mm"</f>
        <v>=10.16mm</v>
      </c>
      <c r="N5" s="2" t="str">
        <f>"="&amp;VLOOKUP($DI5+2,Sheet2!$U$1:$X$4,MATCH(MID(N$2,8,LEN(N$2)-17),Sheet2!$U$1:$X$1,0))</f>
        <v>=0.22</v>
      </c>
      <c r="O5" s="2" t="str">
        <f>"="&amp;VLOOKUP($DI5+2,Sheet2!$U$1:$X$4,MATCH(MID(O$2,8,LEN(O$2)-17),Sheet2!$U$1:$X$1,0))</f>
        <v>=0.275</v>
      </c>
      <c r="P5" s="2" t="str">
        <f>"="&amp;VLOOKUP($DG5,Sheet2!$B$2:$Q$9,MATCH(MID(P$2,8,LEN(P$2)-17),Sheet2!$B$1:$Q$1,0))&amp;"mm"</f>
        <v>=0.04mm</v>
      </c>
      <c r="Q5" s="25" t="str">
        <f t="shared" si="23"/>
        <v>=0.47mm</v>
      </c>
      <c r="R5" s="2" t="s">
        <v>8</v>
      </c>
      <c r="S5" s="11" t="str">
        <f>IF(INDEX($DU5:$DY5,1,MATCH(MID(S$2,8,5),$DU$2:$DY$2,0))=RIGHT(S$2,2),"U","S")</f>
        <v>S</v>
      </c>
      <c r="T5" s="11" t="str">
        <f>IF(INDEX($DU5:$DY5,1,MATCH(MID(T$2,8,5),$DU$2:$DY$2,0))=RIGHT(T$2,2),"U","S")</f>
        <v>S</v>
      </c>
      <c r="U5" s="11" t="str">
        <f>IF(INDEX($DU5:$DY5,1,MATCH(MID(U$2,8,5),$DU$2:$DY$2,0))=RIGHT(U$2,2),"U","S")</f>
        <v>S</v>
      </c>
      <c r="V5" s="11" t="str">
        <f>IF(INDEX($DU5:$DY5,1,MATCH(MID(V$2,8,5),$DU$2:$DY$2,0))=RIGHT(V$2,2),"U","S")</f>
        <v>S</v>
      </c>
      <c r="W5" s="11" t="str">
        <f>IF(INDEX($DU5:$DY5,1,MATCH(MID(W$2,8,5),$DU$2:$DY$2,0))=RIGHT(W$2,2),"U","S")</f>
        <v>S</v>
      </c>
      <c r="X5" s="11" t="str">
        <f>IF(INDEX($DU5:$DY5,1,MATCH(MID(X$2,8,5),$DU$2:$DY$2,0))=RIGHT(X$2,2),"U","S")</f>
        <v>S</v>
      </c>
      <c r="Y5" s="11" t="str">
        <f>IF(INDEX($DU5:$DY5,1,MATCH(MID(Y$2,8,5),$DU$2:$DY$2,0))=RIGHT(Y$2,2),"U","S")</f>
        <v>U</v>
      </c>
      <c r="Z5" s="11" t="str">
        <f>IF(INDEX($DU5:$DY5,1,MATCH(MID(Z$2,8,5),$DU$2:$DY$2,0))=RIGHT(Z$2,2),"U","S")</f>
        <v>S</v>
      </c>
      <c r="AA5" s="11" t="str">
        <f>IF(INDEX($DU5:$DY5,1,MATCH(MID(AA$2,8,5),$DU$2:$DY$2,0))=RIGHT(AA$2,2),"U","S")</f>
        <v>S</v>
      </c>
      <c r="AB5" s="11" t="str">
        <f>IF(INDEX($DU5:$DY5,1,MATCH(MID(AB$2,8,5),$DU$2:$DY$2,0))=RIGHT(AB$2,2),"U","S")</f>
        <v>S</v>
      </c>
      <c r="AC5" s="11" t="str">
        <f>IF(INDEX($DU5:$DY5,1,MATCH(MID(AC$2,8,5),$DU$2:$DY$2,0))=RIGHT(AC$2,2),"U","S")</f>
        <v>S</v>
      </c>
      <c r="AD5" s="11" t="str">
        <f>IF(INDEX($DU5:$DY5,1,MATCH(MID(AD$2,8,5),$DU$2:$DY$2,0))=RIGHT(AD$2,2),"U","S")</f>
        <v>S</v>
      </c>
      <c r="AE5" s="11" t="str">
        <f>IF(INDEX($DU5:$DY5,1,MATCH(MID(AE$2,8,5),$DU$2:$DY$2,0))=RIGHT(AE$2,2),"U","S")</f>
        <v>S</v>
      </c>
      <c r="AF5" s="11" t="str">
        <f>IF(INDEX($DU5:$DY5,1,MATCH(MID(AF$2,8,5),$DU$2:$DY$2,0))=RIGHT(AF$2,2),"U","S")</f>
        <v>S</v>
      </c>
      <c r="AG5" s="11" t="str">
        <f>IF(INDEX($DU5:$DY5,1,MATCH(MID(AG$2,8,5),$DU$2:$DY$2,0))=RIGHT(AG$2,2),"U","S")</f>
        <v>S</v>
      </c>
      <c r="AH5" s="11" t="str">
        <f>IF(INDEX($DU5:$DY5,1,MATCH(MID(AH$2,8,5),$DU$2:$DY$2,0))=RIGHT(AH$2,2),"U","S")</f>
        <v>S</v>
      </c>
      <c r="AI5" s="11" t="str">
        <f>IF(INDEX($DU5:$DY5,1,MATCH(MID(AI$2,8,5),$DU$2:$DY$2,0))=RIGHT(AI$2,2),"U","S")</f>
        <v>S</v>
      </c>
      <c r="AJ5" s="11" t="str">
        <f>IF(INDEX($DU5:$DY5,1,MATCH(MID(AJ$2,8,5),$DU$2:$DY$2,0))=RIGHT(AJ$2,2),"U","S")</f>
        <v>S</v>
      </c>
      <c r="AK5" s="11" t="str">
        <f>IF(INDEX($DU5:$DY5,1,MATCH(MID(AK$2,8,5),$DU$2:$DY$2,0))=RIGHT(AK$2,2),"U","S")</f>
        <v>U</v>
      </c>
      <c r="AL5" s="11" t="str">
        <f>IF(INDEX($DU5:$DY5,1,MATCH(MID(AL$2,8,5),$DU$2:$DY$2,0))=RIGHT(AL$2,2),"U","S")</f>
        <v>S</v>
      </c>
      <c r="AM5" s="11" t="str">
        <f>IF(INDEX($DU5:$DY5,1,MATCH(MID(AM$2,8,5),$DU$2:$DY$2,0))=RIGHT(AM$2,2),"U","S")</f>
        <v>S</v>
      </c>
      <c r="AN5" s="11" t="str">
        <f>IF(INDEX($DU5:$DY5,1,MATCH(MID(AN$2,8,5),$DU$2:$DY$2,0))=RIGHT(AN$2,2),"U","S")</f>
        <v>S</v>
      </c>
      <c r="AO5" s="11" t="str">
        <f>IF(INDEX($DU5:$DY5,1,MATCH(MID(AO$2,8,5),$DU$2:$DY$2,0))=RIGHT(AO$2,2),"U","S")</f>
        <v>S</v>
      </c>
      <c r="AP5" s="11" t="str">
        <f>IF(INDEX($DU5:$DY5,1,MATCH(MID(AP$2,8,5),$DU$2:$DY$2,0))=RIGHT(AP$2,2),"U","S")</f>
        <v>S</v>
      </c>
      <c r="AQ5" s="11" t="str">
        <f>IF(INDEX($DU5:$DY5,1,MATCH(MID(AQ$2,8,5),$DU$2:$DY$2,0))=RIGHT(AQ$2,2),"U","S")</f>
        <v>U</v>
      </c>
      <c r="AR5" s="11" t="str">
        <f>IF(INDEX($DU5:$DY5,1,MATCH(MID(AR$2,8,5),$DU$2:$DY$2,0))=RIGHT(AR$2,2),"U","S")</f>
        <v>S</v>
      </c>
      <c r="AS5" s="11" t="str">
        <f>IF(INDEX($DU5:$DY5,1,MATCH(MID(AS$2,8,5),$DU$2:$DY$2,0))=RIGHT(AS$2,2),"U","S")</f>
        <v>S</v>
      </c>
      <c r="AT5" s="11" t="str">
        <f>IF(INDEX($DU5:$DY5,1,MATCH(MID(AT$2,8,5),$DU$2:$DY$2,0))=RIGHT(AT$2,2),"U","S")</f>
        <v>S</v>
      </c>
      <c r="AU5" s="11" t="str">
        <f>IF(INDEX($DU5:$DY5,1,MATCH(MID(AU$2,8,5),$DU$2:$DY$2,0))=RIGHT(AU$2,2),"U","S")</f>
        <v>S</v>
      </c>
      <c r="AV5" s="11" t="str">
        <f>IF(INDEX($DU5:$DY5,1,MATCH(MID(AV$2,8,5),$DU$2:$DY$2,0))=RIGHT(AV$2,2),"U","S")</f>
        <v>S</v>
      </c>
      <c r="AW5" s="11" t="str">
        <f>IF(INDEX($DU5:$DY5,1,MATCH(MID(AW$2,8,5),$DU$2:$DY$2,0))=RIGHT(AW$2,2),"U","S")</f>
        <v>S</v>
      </c>
      <c r="AX5" s="11" t="str">
        <f>IF(INDEX($DU5:$DY5,1,MATCH(MID(AX$2,8,5),$DU$2:$DY$2,0))=RIGHT(AX$2,2),"U","S")</f>
        <v>S</v>
      </c>
      <c r="AY5" s="11" t="str">
        <f>IF(INDEX($DU5:$DY5,1,MATCH(MID(AY$2,8,5),$DU$2:$DY$2,0))=RIGHT(AY$2,2),"U","S")</f>
        <v>S</v>
      </c>
      <c r="AZ5" s="11" t="str">
        <f>IF(INDEX($DU5:$DY5,1,MATCH(MID(AZ$2,8,5),$DU$2:$DY$2,0))=RIGHT(AZ$2,2),"U","S")</f>
        <v>S</v>
      </c>
      <c r="BA5" s="11" t="str">
        <f>IF(INDEX($DU5:$DY5,1,MATCH(MID(BA$2,8,5),$DU$2:$DY$2,0))=RIGHT(BA$2,2),"U","S")</f>
        <v>S</v>
      </c>
      <c r="BB5" s="11" t="str">
        <f>IF(INDEX($DU5:$DY5,1,MATCH(MID(BB$2,8,5),$DU$2:$DY$2,0))=RIGHT(BB$2,2),"U","S")</f>
        <v>S</v>
      </c>
      <c r="BC5" s="11" t="str">
        <f>IF(INDEX($DU5:$DY5,1,MATCH(MID(BC$2,8,5),$DU$2:$DY$2,0))=RIGHT(BC$2,2),"U","S")</f>
        <v>S</v>
      </c>
      <c r="BD5" s="11" t="str">
        <f>IF(INDEX($DU5:$DY5,1,MATCH(MID(BD$2,8,5),$DU$2:$DY$2,0))=RIGHT(BD$2,2),"U","S")</f>
        <v>S</v>
      </c>
      <c r="BE5" s="11" t="str">
        <f>IF(INDEX($DU5:$DY5,1,MATCH(MID(BE$2,8,5),$DU$2:$DY$2,0))=RIGHT(BE$2,2),"U","S")</f>
        <v>U</v>
      </c>
      <c r="BF5" s="11" t="str">
        <f>IF(INDEX($DU5:$DY5,1,MATCH(MID(BF$2,8,5),$DU$2:$DY$2,0))=RIGHT(BF$2,2),"U","S")</f>
        <v>S</v>
      </c>
      <c r="BG5" s="11" t="str">
        <f>IF(INDEX($DU5:$DY5,1,MATCH(MID(BG$2,8,5),$DU$2:$DY$2,0))=RIGHT(BG$2,2),"U","S")</f>
        <v>S</v>
      </c>
      <c r="BH5" s="11" t="str">
        <f>IF(INDEX($DU5:$DY5,1,MATCH(MID(BH$2,8,5),$DU$2:$DY$2,0))=RIGHT(BH$2,2),"U","S")</f>
        <v>S</v>
      </c>
      <c r="BI5" s="11" t="str">
        <f>IF(INDEX($DU5:$DY5,1,MATCH(MID(BI$2,8,5),$DU$2:$DY$2,0))=RIGHT(BI$2,2),"U","S")</f>
        <v>S</v>
      </c>
      <c r="BJ5" s="11" t="str">
        <f>IF(INDEX($DU5:$DY5,1,MATCH(MID(BJ$2,8,5),$DU$2:$DY$2,0))=RIGHT(BJ$2,2),"U","S")</f>
        <v>S</v>
      </c>
      <c r="BK5" s="11" t="str">
        <f>IF(INDEX($DU5:$DY5,1,MATCH(MID(BK$2,8,5),$DU$2:$DY$2,0))=RIGHT(BK$2,2),"U","S")</f>
        <v>S</v>
      </c>
      <c r="BL5" s="11" t="str">
        <f>IF(INDEX($DU5:$DY5,1,MATCH(MID(BL$2,8,5),$DU$2:$DY$2,0))=RIGHT(BL$2,2),"U","S")</f>
        <v>S</v>
      </c>
      <c r="BM5" s="11" t="str">
        <f>IF(INDEX($DU5:$DY5,1,MATCH(MID(BM$2,8,5),$DU$2:$DY$2,0))=RIGHT(BM$2,2),"U","S")</f>
        <v>S</v>
      </c>
      <c r="BN5" s="11" t="str">
        <f>IF(INDEX($DU5:$DY5,1,MATCH(MID(BN$2,8,5),$DU$2:$DY$2,0))=RIGHT(BN$2,2),"U","S")</f>
        <v>S</v>
      </c>
      <c r="BO5" s="11" t="str">
        <f>IF(INDEX($DU5:$DY5,1,MATCH(MID(BO$2,8,5),$DU$2:$DY$2,0))=RIGHT(BO$2,2),"U","S")</f>
        <v>S</v>
      </c>
      <c r="BP5" s="11" t="str">
        <f>IF(INDEX($DU5:$DY5,1,MATCH(MID(BP$2,8,5),$DU$2:$DY$2,0))=RIGHT(BP$2,2),"U","S")</f>
        <v>S</v>
      </c>
      <c r="BQ5" s="11" t="str">
        <f>IF(INDEX($DU5:$DY5,1,MATCH(MID(BQ$2,8,5),$DU$2:$DY$2,0))=RIGHT(BQ$2,2),"U","S")</f>
        <v>U</v>
      </c>
      <c r="BR5" s="11" t="str">
        <f>IF(INDEX($DU5:$DY5,1,MATCH(MID(BR$2,8,5),$DU$2:$DY$2,0))=RIGHT(BR$2,2),"U","S")</f>
        <v>S</v>
      </c>
      <c r="BS5" s="11" t="str">
        <f>IF(INDEX($DU5:$DY5,1,MATCH(MID(BS$2,8,5),$DU$2:$DY$2,0))=RIGHT(BS$2,2),"U","S")</f>
        <v>S</v>
      </c>
      <c r="BT5" s="11" t="str">
        <f>IF(INDEX($DU5:$DY5,1,MATCH(MID(BT$2,8,5),$DU$2:$DY$2,0))=RIGHT(BT$2,2),"U","S")</f>
        <v>S</v>
      </c>
      <c r="BU5" s="11" t="str">
        <f>IF(INDEX($DU5:$DY5,1,MATCH(MID(BU$2,8,5),$DU$2:$DY$2,0))=RIGHT(BU$2,2),"U","S")</f>
        <v>S</v>
      </c>
      <c r="BV5" s="11" t="str">
        <f>IF(INDEX($DU5:$DY5,1,MATCH(MID(BV$2,8,5),$DU$2:$DY$2,0))=RIGHT(BV$2,2),"U","S")</f>
        <v>S</v>
      </c>
      <c r="BW5" s="11" t="str">
        <f>IF(INDEX($DU5:$DY5,1,MATCH(MID(BW$2,8,5),$DU$2:$DY$2,0))=RIGHT(BW$2,2),"U","S")</f>
        <v>S</v>
      </c>
      <c r="BX5" s="11" t="str">
        <f>IF(INDEX($DU5:$DY5,1,MATCH(MID(BX$2,8,5),$DU$2:$DY$2,0))=RIGHT(BX$2,2),"U","S")</f>
        <v>S</v>
      </c>
      <c r="BY5" s="11" t="str">
        <f>IF(INDEX($DU5:$DY5,1,MATCH(MID(BY$2,8,5),$DU$2:$DY$2,0))=RIGHT(BY$2,2),"U","S")</f>
        <v>S</v>
      </c>
      <c r="BZ5" s="11" t="str">
        <f>IF(INDEX($DU5:$DY5,1,MATCH(MID(BZ$2,8,5),$DU$2:$DY$2,0))=RIGHT(BZ$2,2),"U","S")</f>
        <v>S</v>
      </c>
      <c r="CA5" s="19" t="s">
        <v>118</v>
      </c>
      <c r="CB5" s="19" t="s">
        <v>118</v>
      </c>
      <c r="CC5" s="19" t="s">
        <v>118</v>
      </c>
      <c r="CD5" s="24"/>
      <c r="CE5" s="2">
        <f>VLOOKUP($DI5+2,Sheet2!$U$1:$X$4,MATCH(CE$2,Sheet2!$U$1:$X$1,0))</f>
        <v>0.22</v>
      </c>
      <c r="CF5" s="2">
        <f>VLOOKUP($DI5+2,Sheet2!$U$1:$X$4,MATCH(CF$2,Sheet2!$U$1:$X$1,0))</f>
        <v>0.27500000000000002</v>
      </c>
      <c r="CG5" s="2">
        <f>VLOOKUP($DG5,Sheet2!$B$2:$Q$9,MATCH(CG$2,Sheet2!$B$1:$Q$1,0))</f>
        <v>6.8</v>
      </c>
      <c r="CH5" s="2">
        <f>VLOOKUP($DG5,Sheet2!$B$2:$Q$9,MATCH(CH$2,Sheet2!$B$1:$Q$1,0))</f>
        <v>2.7</v>
      </c>
      <c r="CI5" s="2">
        <f>VLOOKUP($DG5,Sheet2!$B$2:$Q$9,MATCH(CI$2,Sheet2!$B$1:$Q$1,0))</f>
        <v>1.8649999999999998</v>
      </c>
      <c r="CJ5" s="2">
        <f>VLOOKUP($DG5,Sheet2!$B$2:$Q$9,MATCH(CJ$2,Sheet2!$B$1:$Q$1,0))</f>
        <v>0.4</v>
      </c>
      <c r="CK5" s="2">
        <f>VLOOKUP($DG5,Sheet2!$B$2:$Q$9,MATCH(CK$2,Sheet2!$B$1:$Q$1,0))</f>
        <v>0.47</v>
      </c>
      <c r="CL5" s="22">
        <f t="shared" si="24"/>
        <v>0.45099999999999996</v>
      </c>
      <c r="CM5" s="23">
        <f t="shared" si="25"/>
        <v>1.0139999999999998</v>
      </c>
      <c r="CN5" s="2" t="s">
        <v>96</v>
      </c>
      <c r="CO5">
        <v>33</v>
      </c>
      <c r="CP5">
        <v>100</v>
      </c>
      <c r="CQ5" s="18">
        <f t="shared" si="26"/>
        <v>3300</v>
      </c>
      <c r="CR5" s="13">
        <v>0.01</v>
      </c>
      <c r="CS5" s="6" t="b">
        <f t="shared" si="0"/>
        <v>1</v>
      </c>
      <c r="CT5" s="14" t="str">
        <f t="shared" si="1"/>
        <v>0.0</v>
      </c>
      <c r="CU5" s="14">
        <f t="shared" si="2"/>
        <v>1000</v>
      </c>
      <c r="CV5" s="14">
        <f>INT($CQ5/$CU5)</f>
        <v>3</v>
      </c>
      <c r="CW5" s="14">
        <f>INT(10*$CQ5/$CU5-10*$CV5)</f>
        <v>3</v>
      </c>
      <c r="CX5" s="14">
        <f>INT(100*$CQ5/$CU5-100*$CV5-10*$CW5)</f>
        <v>0</v>
      </c>
      <c r="CY5" s="14">
        <f>INT(1000*$CQ5/$CU5-1000*$CV5-100*$CW5-10*$CX5)</f>
        <v>0</v>
      </c>
      <c r="CZ5" s="14" t="str">
        <f t="shared" si="3"/>
        <v>K</v>
      </c>
      <c r="DA5" s="14">
        <f t="shared" si="4"/>
        <v>3</v>
      </c>
      <c r="DB5" s="14" t="str">
        <f t="shared" si="5"/>
        <v/>
      </c>
      <c r="DC5" s="14" t="str">
        <f t="shared" si="6"/>
        <v/>
      </c>
      <c r="DD5" s="6" t="str">
        <f t="shared" si="7"/>
        <v>3K3</v>
      </c>
      <c r="DE5" s="6" t="str">
        <f t="shared" si="8"/>
        <v>3.3K</v>
      </c>
      <c r="DF5" s="2">
        <v>400</v>
      </c>
      <c r="DG5" s="2">
        <f>VLOOKUP($DF5,Sheet2!$A$2:$B$15,2,0)</f>
        <v>3</v>
      </c>
      <c r="DH5" s="2">
        <f t="shared" si="9"/>
        <v>3</v>
      </c>
      <c r="DI5" s="2">
        <f t="shared" si="10"/>
        <v>3</v>
      </c>
      <c r="DJ5" s="7">
        <f t="shared" si="11"/>
        <v>1000</v>
      </c>
      <c r="DK5" s="2">
        <f>IF(3-LOG(DK$2)&lt;$DI5,IF(1+$DI5-LOG(DK$2)&gt;$DI5,"",INT($CQ5/$DJ5)),"")</f>
        <v>3</v>
      </c>
      <c r="DL5" s="2">
        <f>IF(3-LOG(DL$2)&lt;$DI5,IF(1+$DI5-LOG(DL$2)&gt;$DI5,"",INT(10*$CQ5/$DJ5-10*$DK5)),"")</f>
        <v>3</v>
      </c>
      <c r="DM5" s="2">
        <f>IF(3-LOG(DM$2)&lt;$DI5,IF(1+$DI5-LOG(DM$2)&gt;$DI5,"",INT(100*$CQ5-(100*$DK5*$DJ5+10*$DL5*$DJ5))/$DJ5),"")</f>
        <v>0</v>
      </c>
      <c r="DN5" s="2">
        <f t="shared" si="12"/>
        <v>1</v>
      </c>
      <c r="DO5" s="2">
        <f t="shared" si="13"/>
        <v>1</v>
      </c>
      <c r="DP5" s="8" t="str">
        <f t="shared" si="14"/>
        <v>OR</v>
      </c>
      <c r="DQ5" s="8" t="str">
        <f t="shared" si="15"/>
        <v>OR</v>
      </c>
      <c r="DR5" s="8" t="str">
        <f t="shared" si="16"/>
        <v>BK</v>
      </c>
      <c r="DS5" s="8" t="str">
        <f t="shared" si="17"/>
        <v>BN</v>
      </c>
      <c r="DT5" s="8" t="str">
        <f t="shared" si="18"/>
        <v>BN</v>
      </c>
      <c r="DU5" s="8" t="str">
        <f t="shared" si="27"/>
        <v>OR</v>
      </c>
      <c r="DV5" s="8" t="str">
        <f t="shared" si="20"/>
        <v>OR</v>
      </c>
      <c r="DW5" s="8" t="str">
        <f t="shared" si="21"/>
        <v>BK</v>
      </c>
      <c r="DX5" s="8" t="str">
        <f t="shared" si="22"/>
        <v>BN</v>
      </c>
      <c r="DY5" s="8" t="str">
        <f>IF(DO5="","",IF(DO5&lt;1,CHOOSE(20*DO5,"GY","VT",,,"BL",,,,,"GN"),CHOOSE(DO5,"BN","RD",,,"GD",,,,,"SR",,,,,,,,,,"")))</f>
        <v>BN</v>
      </c>
    </row>
    <row r="6" spans="1:129">
      <c r="A6" s="1" t="str">
        <f>$DD6&amp;" "&amp;100*$CR6&amp;"%"&amp;" "&amp;TEXT($DF6/1000,"0.0")</f>
        <v>47K 5% 0.5</v>
      </c>
      <c r="B6" t="str">
        <f>"Resistor"&amp;" "&amp;$DD6&amp;" "&amp;100*$CR6&amp;"%"&amp; " AXIAL-"&amp;TEXT($DF6/1000,"0.0")</f>
        <v>Resistor 47K 5% AXIAL-0.5</v>
      </c>
      <c r="C6" s="2">
        <v>5000268</v>
      </c>
      <c r="D6" s="2" t="s">
        <v>125</v>
      </c>
      <c r="E6" s="2" t="str">
        <f>"="&amp;VLOOKUP($DG6,Sheet2!$B$2:$Q$9,MATCH(MID(E$2,8,LEN(E$2)-17),Sheet2!$B$1:$Q$1,0))&amp;"mm"</f>
        <v>=9mm</v>
      </c>
      <c r="F6" s="2" t="str">
        <f>"="&amp;VLOOKUP($DG6,Sheet2!$B$2:$Q$9,MATCH(MID(F$2,8,LEN(F$2)-17),Sheet2!$B$1:$Q$1,0))&amp;"mm"</f>
        <v>=3mm</v>
      </c>
      <c r="G6" s="2" t="str">
        <f>"="&amp;VLOOKUP($DG6,Sheet2!$B$2:$Q$9,MATCH(MID(G$2,8,LEN(G$2)-17),Sheet2!$B$1:$Q$1,0))&amp;"mm"</f>
        <v>=2.7mm</v>
      </c>
      <c r="H6" s="2" t="str">
        <f>"="&amp;VLOOKUP($DG6,Sheet2!$B$2:$Q$9,MATCH(MID(H$2,8,LEN(H$2)-17),Sheet2!$B$1:$Q$1,0))&amp;"mm"</f>
        <v>=0.22mm</v>
      </c>
      <c r="I6" s="2" t="str">
        <f>"="&amp;VLOOKUP($DG6,Sheet2!$B$2:$Q$9,MATCH(MID(I$2,8,LEN(I$2)-17),Sheet2!$B$1:$Q$1,0))&amp;"mm"</f>
        <v>=5.67mm</v>
      </c>
      <c r="J6" s="2" t="str">
        <f>"="&amp;VLOOKUP($DG6,Sheet2!$B$2:$Q$9,MATCH(MID(J$2,8,LEN(J$2)-17),Sheet2!$B$1:$Q$1,0))&amp;"mm"</f>
        <v>=0.5mm</v>
      </c>
      <c r="K6" s="2" t="str">
        <f>"="&amp;VLOOKUP($DG6,Sheet2!$B$2:$Q$9,MATCH(MID(K$2,8,LEN(K$2)-17),Sheet2!$B$1:$Q$1,0))&amp;"mm"</f>
        <v>=1mm</v>
      </c>
      <c r="L6" s="2" t="str">
        <f>"="&amp;VLOOKUP($DG6,Sheet2!$B$2:$Q$9,MATCH(MID(L$2,8,LEN(L$2)-17),Sheet2!$B$1:$Q$1,0))&amp;"mm"</f>
        <v>=0.54mm</v>
      </c>
      <c r="M6" s="2" t="str">
        <f>"="&amp;VLOOKUP($DG6,Sheet2!$B$2:$Q$9,MATCH(MID(M$2,8,LEN(M$2)-17),Sheet2!$B$1:$Q$1,0))&amp;"mm"</f>
        <v>=12.7mm</v>
      </c>
      <c r="N6" s="2" t="str">
        <f>"="&amp;VLOOKUP($DI6+2,Sheet2!$U$1:$X$4,MATCH(MID(N$2,8,LEN(N$2)-17),Sheet2!$U$1:$X$1,0))</f>
        <v>=0.135</v>
      </c>
      <c r="O6" s="2" t="str">
        <f>"="&amp;VLOOKUP($DI6+2,Sheet2!$U$1:$X$4,MATCH(MID(O$2,8,LEN(O$2)-17),Sheet2!$U$1:$X$1,0))</f>
        <v>=0.07</v>
      </c>
      <c r="P6" s="2" t="str">
        <f>"="&amp;VLOOKUP($DG6,Sheet2!$B$2:$Q$9,MATCH(MID(P$2,8,LEN(P$2)-17),Sheet2!$B$1:$Q$1,0))&amp;"mm"</f>
        <v>=0.04mm</v>
      </c>
      <c r="Q6" s="25" t="str">
        <f t="shared" si="23"/>
        <v>=0.59mm</v>
      </c>
      <c r="R6" s="2" t="s">
        <v>8</v>
      </c>
      <c r="S6" s="11" t="str">
        <f>IF(INDEX($DU6:$DY6,1,MATCH(MID(S$2,8,5),$DU$2:$DY$2,0))=RIGHT(S$2,2),"U","S")</f>
        <v>S</v>
      </c>
      <c r="T6" s="11" t="str">
        <f>IF(INDEX($DU6:$DY6,1,MATCH(MID(T$2,8,5),$DU$2:$DY$2,0))=RIGHT(T$2,2),"U","S")</f>
        <v>S</v>
      </c>
      <c r="U6" s="11" t="str">
        <f>IF(INDEX($DU6:$DY6,1,MATCH(MID(U$2,8,5),$DU$2:$DY$2,0))=RIGHT(U$2,2),"U","S")</f>
        <v>S</v>
      </c>
      <c r="V6" s="11" t="str">
        <f>IF(INDEX($DU6:$DY6,1,MATCH(MID(V$2,8,5),$DU$2:$DY$2,0))=RIGHT(V$2,2),"U","S")</f>
        <v>S</v>
      </c>
      <c r="W6" s="11" t="str">
        <f>IF(INDEX($DU6:$DY6,1,MATCH(MID(W$2,8,5),$DU$2:$DY$2,0))=RIGHT(W$2,2),"U","S")</f>
        <v>S</v>
      </c>
      <c r="X6" s="11" t="str">
        <f>IF(INDEX($DU6:$DY6,1,MATCH(MID(X$2,8,5),$DU$2:$DY$2,0))=RIGHT(X$2,2),"U","S")</f>
        <v>S</v>
      </c>
      <c r="Y6" s="11" t="str">
        <f>IF(INDEX($DU6:$DY6,1,MATCH(MID(Y$2,8,5),$DU$2:$DY$2,0))=RIGHT(Y$2,2),"U","S")</f>
        <v>S</v>
      </c>
      <c r="Z6" s="11" t="str">
        <f>IF(INDEX($DU6:$DY6,1,MATCH(MID(Z$2,8,5),$DU$2:$DY$2,0))=RIGHT(Z$2,2),"U","S")</f>
        <v>S</v>
      </c>
      <c r="AA6" s="11" t="str">
        <f>IF(INDEX($DU6:$DY6,1,MATCH(MID(AA$2,8,5),$DU$2:$DY$2,0))=RIGHT(AA$2,2),"U","S")</f>
        <v>S</v>
      </c>
      <c r="AB6" s="11" t="str">
        <f>IF(INDEX($DU6:$DY6,1,MATCH(MID(AB$2,8,5),$DU$2:$DY$2,0))=RIGHT(AB$2,2),"U","S")</f>
        <v>S</v>
      </c>
      <c r="AC6" s="11" t="str">
        <f>IF(INDEX($DU6:$DY6,1,MATCH(MID(AC$2,8,5),$DU$2:$DY$2,0))=RIGHT(AC$2,2),"U","S")</f>
        <v>S</v>
      </c>
      <c r="AD6" s="11" t="str">
        <f>IF(INDEX($DU6:$DY6,1,MATCH(MID(AD$2,8,5),$DU$2:$DY$2,0))=RIGHT(AD$2,2),"U","S")</f>
        <v>U</v>
      </c>
      <c r="AE6" s="11" t="str">
        <f>IF(INDEX($DU6:$DY6,1,MATCH(MID(AE$2,8,5),$DU$2:$DY$2,0))=RIGHT(AE$2,2),"U","S")</f>
        <v>S</v>
      </c>
      <c r="AF6" s="11" t="str">
        <f>IF(INDEX($DU6:$DY6,1,MATCH(MID(AF$2,8,5),$DU$2:$DY$2,0))=RIGHT(AF$2,2),"U","S")</f>
        <v>S</v>
      </c>
      <c r="AG6" s="11" t="str">
        <f>IF(INDEX($DU6:$DY6,1,MATCH(MID(AG$2,8,5),$DU$2:$DY$2,0))=RIGHT(AG$2,2),"U","S")</f>
        <v>S</v>
      </c>
      <c r="AH6" s="11" t="str">
        <f>IF(INDEX($DU6:$DY6,1,MATCH(MID(AH$2,8,5),$DU$2:$DY$2,0))=RIGHT(AH$2,2),"U","S")</f>
        <v>S</v>
      </c>
      <c r="AI6" s="11" t="str">
        <f>IF(INDEX($DU6:$DY6,1,MATCH(MID(AI$2,8,5),$DU$2:$DY$2,0))=RIGHT(AI$2,2),"U","S")</f>
        <v>S</v>
      </c>
      <c r="AJ6" s="11" t="str">
        <f>IF(INDEX($DU6:$DY6,1,MATCH(MID(AJ$2,8,5),$DU$2:$DY$2,0))=RIGHT(AJ$2,2),"U","S")</f>
        <v>S</v>
      </c>
      <c r="AK6" s="11" t="str">
        <f>IF(INDEX($DU6:$DY6,1,MATCH(MID(AK$2,8,5),$DU$2:$DY$2,0))=RIGHT(AK$2,2),"U","S")</f>
        <v>S</v>
      </c>
      <c r="AL6" s="11" t="str">
        <f>IF(INDEX($DU6:$DY6,1,MATCH(MID(AL$2,8,5),$DU$2:$DY$2,0))=RIGHT(AL$2,2),"U","S")</f>
        <v>S</v>
      </c>
      <c r="AM6" s="11" t="str">
        <f>IF(INDEX($DU6:$DY6,1,MATCH(MID(AM$2,8,5),$DU$2:$DY$2,0))=RIGHT(AM$2,2),"U","S")</f>
        <v>S</v>
      </c>
      <c r="AN6" s="11" t="str">
        <f>IF(INDEX($DU6:$DY6,1,MATCH(MID(AN$2,8,5),$DU$2:$DY$2,0))=RIGHT(AN$2,2),"U","S")</f>
        <v>U</v>
      </c>
      <c r="AO6" s="11" t="str">
        <f>IF(INDEX($DU6:$DY6,1,MATCH(MID(AO$2,8,5),$DU$2:$DY$2,0))=RIGHT(AO$2,2),"U","S")</f>
        <v>S</v>
      </c>
      <c r="AP6" s="11" t="str">
        <f>IF(INDEX($DU6:$DY6,1,MATCH(MID(AP$2,8,5),$DU$2:$DY$2,0))=RIGHT(AP$2,2),"U","S")</f>
        <v>S</v>
      </c>
      <c r="AQ6" s="11" t="str">
        <f>IF(INDEX($DU6:$DY6,1,MATCH(MID(AQ$2,8,5),$DU$2:$DY$2,0))=RIGHT(AQ$2,2),"U","S")</f>
        <v>S</v>
      </c>
      <c r="AR6" s="11" t="str">
        <f>IF(INDEX($DU6:$DY6,1,MATCH(MID(AR$2,8,5),$DU$2:$DY$2,0))=RIGHT(AR$2,2),"U","S")</f>
        <v>S</v>
      </c>
      <c r="AS6" s="11" t="str">
        <f>IF(INDEX($DU6:$DY6,1,MATCH(MID(AS$2,8,5),$DU$2:$DY$2,0))=RIGHT(AS$2,2),"U","S")</f>
        <v>S</v>
      </c>
      <c r="AT6" s="11" t="str">
        <f>IF(INDEX($DU6:$DY6,1,MATCH(MID(AT$2,8,5),$DU$2:$DY$2,0))=RIGHT(AT$2,2),"U","S")</f>
        <v>S</v>
      </c>
      <c r="AU6" s="11" t="str">
        <f>IF(INDEX($DU6:$DY6,1,MATCH(MID(AU$2,8,5),$DU$2:$DY$2,0))=RIGHT(AU$2,2),"U","S")</f>
        <v>S</v>
      </c>
      <c r="AV6" s="11" t="str">
        <f>IF(INDEX($DU6:$DY6,1,MATCH(MID(AV$2,8,5),$DU$2:$DY$2,0))=RIGHT(AV$2,2),"U","S")</f>
        <v>S</v>
      </c>
      <c r="AW6" s="11" t="str">
        <f>IF(INDEX($DU6:$DY6,1,MATCH(MID(AW$2,8,5),$DU$2:$DY$2,0))=RIGHT(AW$2,2),"U","S")</f>
        <v>U</v>
      </c>
      <c r="AX6" s="11" t="str">
        <f>IF(INDEX($DU6:$DY6,1,MATCH(MID(AX$2,8,5),$DU$2:$DY$2,0))=RIGHT(AX$2,2),"U","S")</f>
        <v>S</v>
      </c>
      <c r="AY6" s="11" t="str">
        <f>IF(INDEX($DU6:$DY6,1,MATCH(MID(AY$2,8,5),$DU$2:$DY$2,0))=RIGHT(AY$2,2),"U","S")</f>
        <v>S</v>
      </c>
      <c r="AZ6" s="11" t="str">
        <f>IF(INDEX($DU6:$DY6,1,MATCH(MID(AZ$2,8,5),$DU$2:$DY$2,0))=RIGHT(AZ$2,2),"U","S")</f>
        <v>S</v>
      </c>
      <c r="BA6" s="11" t="str">
        <f>IF(INDEX($DU6:$DY6,1,MATCH(MID(BA$2,8,5),$DU$2:$DY$2,0))=RIGHT(BA$2,2),"U","S")</f>
        <v>S</v>
      </c>
      <c r="BB6" s="11" t="str">
        <f>IF(INDEX($DU6:$DY6,1,MATCH(MID(BB$2,8,5),$DU$2:$DY$2,0))=RIGHT(BB$2,2),"U","S")</f>
        <v>S</v>
      </c>
      <c r="BC6" s="11" t="str">
        <f>IF(INDEX($DU6:$DY6,1,MATCH(MID(BC$2,8,5),$DU$2:$DY$2,0))=RIGHT(BC$2,2),"U","S")</f>
        <v>S</v>
      </c>
      <c r="BD6" s="11" t="str">
        <f>IF(INDEX($DU6:$DY6,1,MATCH(MID(BD$2,8,5),$DU$2:$DY$2,0))=RIGHT(BD$2,2),"U","S")</f>
        <v>S</v>
      </c>
      <c r="BE6" s="11" t="str">
        <f>IF(INDEX($DU6:$DY6,1,MATCH(MID(BE$2,8,5),$DU$2:$DY$2,0))=RIGHT(BE$2,2),"U","S")</f>
        <v>S</v>
      </c>
      <c r="BF6" s="11" t="str">
        <f>IF(INDEX($DU6:$DY6,1,MATCH(MID(BF$2,8,5),$DU$2:$DY$2,0))=RIGHT(BF$2,2),"U","S")</f>
        <v>S</v>
      </c>
      <c r="BG6" s="11" t="str">
        <f>IF(INDEX($DU6:$DY6,1,MATCH(MID(BG$2,8,5),$DU$2:$DY$2,0))=RIGHT(BG$2,2),"U","S")</f>
        <v>S</v>
      </c>
      <c r="BH6" s="11" t="str">
        <f>IF(INDEX($DU6:$DY6,1,MATCH(MID(BH$2,8,5),$DU$2:$DY$2,0))=RIGHT(BH$2,2),"U","S")</f>
        <v>S</v>
      </c>
      <c r="BI6" s="11" t="str">
        <f>IF(INDEX($DU6:$DY6,1,MATCH(MID(BI$2,8,5),$DU$2:$DY$2,0))=RIGHT(BI$2,2),"U","S")</f>
        <v>S</v>
      </c>
      <c r="BJ6" s="11" t="str">
        <f>IF(INDEX($DU6:$DY6,1,MATCH(MID(BJ$2,8,5),$DU$2:$DY$2,0))=RIGHT(BJ$2,2),"U","S")</f>
        <v>S</v>
      </c>
      <c r="BK6" s="11" t="str">
        <f>IF(INDEX($DU6:$DY6,1,MATCH(MID(BK$2,8,5),$DU$2:$DY$2,0))=RIGHT(BK$2,2),"U","S")</f>
        <v>S</v>
      </c>
      <c r="BL6" s="11" t="str">
        <f>IF(INDEX($DU6:$DY6,1,MATCH(MID(BL$2,8,5),$DU$2:$DY$2,0))=RIGHT(BL$2,2),"U","S")</f>
        <v>S</v>
      </c>
      <c r="BM6" s="11" t="str">
        <f>IF(INDEX($DU6:$DY6,1,MATCH(MID(BM$2,8,5),$DU$2:$DY$2,0))=RIGHT(BM$2,2),"U","S")</f>
        <v>S</v>
      </c>
      <c r="BN6" s="11" t="str">
        <f>IF(INDEX($DU6:$DY6,1,MATCH(MID(BN$2,8,5),$DU$2:$DY$2,0))=RIGHT(BN$2,2),"U","S")</f>
        <v>S</v>
      </c>
      <c r="BO6" s="11" t="str">
        <f>IF(INDEX($DU6:$DY6,1,MATCH(MID(BO$2,8,5),$DU$2:$DY$2,0))=RIGHT(BO$2,2),"U","S")</f>
        <v>S</v>
      </c>
      <c r="BP6" s="11" t="str">
        <f>IF(INDEX($DU6:$DY6,1,MATCH(MID(BP$2,8,5),$DU$2:$DY$2,0))=RIGHT(BP$2,2),"U","S")</f>
        <v>S</v>
      </c>
      <c r="BQ6" s="11" t="str">
        <f>IF(INDEX($DU6:$DY6,1,MATCH(MID(BQ$2,8,5),$DU$2:$DY$2,0))=RIGHT(BQ$2,2),"U","S")</f>
        <v>S</v>
      </c>
      <c r="BR6" s="11" t="str">
        <f>IF(INDEX($DU6:$DY6,1,MATCH(MID(BR$2,8,5),$DU$2:$DY$2,0))=RIGHT(BR$2,2),"U","S")</f>
        <v>U</v>
      </c>
      <c r="BS6" s="11" t="str">
        <f>IF(INDEX($DU6:$DY6,1,MATCH(MID(BS$2,8,5),$DU$2:$DY$2,0))=RIGHT(BS$2,2),"U","S")</f>
        <v>S</v>
      </c>
      <c r="BT6" s="11" t="str">
        <f>IF(INDEX($DU6:$DY6,1,MATCH(MID(BT$2,8,5),$DU$2:$DY$2,0))=RIGHT(BT$2,2),"U","S")</f>
        <v>S</v>
      </c>
      <c r="BU6" s="11" t="str">
        <f>IF(INDEX($DU6:$DY6,1,MATCH(MID(BU$2,8,5),$DU$2:$DY$2,0))=RIGHT(BU$2,2),"U","S")</f>
        <v>S</v>
      </c>
      <c r="BV6" s="11" t="str">
        <f>IF(INDEX($DU6:$DY6,1,MATCH(MID(BV$2,8,5),$DU$2:$DY$2,0))=RIGHT(BV$2,2),"U","S")</f>
        <v>S</v>
      </c>
      <c r="BW6" s="11" t="str">
        <f>IF(INDEX($DU6:$DY6,1,MATCH(MID(BW$2,8,5),$DU$2:$DY$2,0))=RIGHT(BW$2,2),"U","S")</f>
        <v>S</v>
      </c>
      <c r="BX6" s="11" t="str">
        <f>IF(INDEX($DU6:$DY6,1,MATCH(MID(BX$2,8,5),$DU$2:$DY$2,0))=RIGHT(BX$2,2),"U","S")</f>
        <v>S</v>
      </c>
      <c r="BY6" s="11" t="str">
        <f>IF(INDEX($DU6:$DY6,1,MATCH(MID(BY$2,8,5),$DU$2:$DY$2,0))=RIGHT(BY$2,2),"U","S")</f>
        <v>S</v>
      </c>
      <c r="BZ6" s="11" t="str">
        <f>IF(INDEX($DU6:$DY6,1,MATCH(MID(BZ$2,8,5),$DU$2:$DY$2,0))=RIGHT(BZ$2,2),"U","S")</f>
        <v>S</v>
      </c>
      <c r="CA6" s="19" t="s">
        <v>118</v>
      </c>
      <c r="CB6" s="19" t="s">
        <v>118</v>
      </c>
      <c r="CC6" s="19" t="s">
        <v>118</v>
      </c>
      <c r="CD6" s="24"/>
      <c r="CE6" s="2">
        <f>VLOOKUP($DI6+2,Sheet2!$U$1:$X$4,MATCH(CE$2,Sheet2!$U$1:$X$1,0))</f>
        <v>0.13500000000000001</v>
      </c>
      <c r="CF6" s="2">
        <f>VLOOKUP($DI6+2,Sheet2!$U$1:$X$4,MATCH(CF$2,Sheet2!$U$1:$X$1,0))</f>
        <v>7.0000000000000007E-2</v>
      </c>
      <c r="CG6" s="2">
        <f>VLOOKUP($DG6,Sheet2!$B$2:$Q$9,MATCH(CG$2,Sheet2!$B$1:$Q$1,0))</f>
        <v>9</v>
      </c>
      <c r="CH6" s="2">
        <f>VLOOKUP($DG6,Sheet2!$B$2:$Q$9,MATCH(CH$2,Sheet2!$B$1:$Q$1,0))</f>
        <v>5.67</v>
      </c>
      <c r="CI6" s="2">
        <f>VLOOKUP($DG6,Sheet2!$B$2:$Q$9,MATCH(CI$2,Sheet2!$B$1:$Q$1,0))</f>
        <v>1.3240909090909092</v>
      </c>
      <c r="CJ6" s="2">
        <f>VLOOKUP($DG6,Sheet2!$B$2:$Q$9,MATCH(CJ$2,Sheet2!$B$1:$Q$1,0))</f>
        <v>0.5</v>
      </c>
      <c r="CK6" s="2">
        <f>VLOOKUP($DG6,Sheet2!$B$2:$Q$9,MATCH(CK$2,Sheet2!$B$1:$Q$1,0))</f>
        <v>0.59499999999999997</v>
      </c>
      <c r="CL6" s="22">
        <f t="shared" si="24"/>
        <v>0.22477500000000003</v>
      </c>
      <c r="CM6" s="23">
        <f t="shared" si="25"/>
        <v>0.59931590909090915</v>
      </c>
      <c r="CN6" s="2" t="s">
        <v>96</v>
      </c>
      <c r="CO6">
        <v>47</v>
      </c>
      <c r="CP6">
        <v>1000</v>
      </c>
      <c r="CQ6" s="18">
        <f t="shared" si="26"/>
        <v>47000</v>
      </c>
      <c r="CR6" s="13">
        <v>0.05</v>
      </c>
      <c r="CS6" s="6" t="b">
        <f t="shared" si="0"/>
        <v>0</v>
      </c>
      <c r="CT6" s="14" t="str">
        <f t="shared" si="1"/>
        <v>GENERAL</v>
      </c>
      <c r="CU6" s="14">
        <f t="shared" si="2"/>
        <v>1000</v>
      </c>
      <c r="CV6" s="14">
        <f>INT($CQ6/$CU6)</f>
        <v>47</v>
      </c>
      <c r="CW6" s="14">
        <f>INT(10*$CQ6/$CU6-10*$CV6)</f>
        <v>0</v>
      </c>
      <c r="CX6" s="14">
        <f>INT(100*$CQ6/$CU6-100*$CV6-10*$CW6)</f>
        <v>0</v>
      </c>
      <c r="CY6" s="14">
        <f>INT(1000*$CQ6/$CU6-1000*$CV6-100*$CW6-10*$CX6)</f>
        <v>0</v>
      </c>
      <c r="CZ6" s="14" t="str">
        <f t="shared" si="3"/>
        <v>K</v>
      </c>
      <c r="DA6" s="14" t="str">
        <f t="shared" si="4"/>
        <v/>
      </c>
      <c r="DB6" s="14" t="str">
        <f t="shared" si="5"/>
        <v/>
      </c>
      <c r="DC6" s="14" t="str">
        <f t="shared" si="6"/>
        <v/>
      </c>
      <c r="DD6" s="6" t="str">
        <f t="shared" si="7"/>
        <v>47K</v>
      </c>
      <c r="DE6" s="6" t="str">
        <f t="shared" si="8"/>
        <v>47K</v>
      </c>
      <c r="DF6" s="2">
        <v>500</v>
      </c>
      <c r="DG6" s="2">
        <f>VLOOKUP($DF6,Sheet2!$A$2:$B$15,2,0)</f>
        <v>4</v>
      </c>
      <c r="DH6" s="2">
        <f>INT(LOG($CQ6,10))</f>
        <v>4</v>
      </c>
      <c r="DI6" s="2">
        <f t="shared" si="10"/>
        <v>2</v>
      </c>
      <c r="DJ6" s="7">
        <f t="shared" si="11"/>
        <v>10000</v>
      </c>
      <c r="DK6" s="2">
        <f>IF(3-LOG(DK$2)&lt;$DI6,IF(1+$DI6-LOG(DK$2)&gt;$DI6,"",INT($CQ6/$DJ6)),"")</f>
        <v>4</v>
      </c>
      <c r="DL6" s="2">
        <f>IF(3-LOG(DL$2)&lt;$DI6,IF(1+$DI6-LOG(DL$2)&gt;$DI6,"",INT(10*$CQ6/$DJ6-10*$DK6)),"")</f>
        <v>7</v>
      </c>
      <c r="DM6" s="2" t="str">
        <f>IF(3-LOG(DM$2)&lt;$DI6,IF(1+$DI6-LOG(DM$2)&gt;$DI6,"",INT(100*$CQ6-(100*$DK6*$DJ6+10*$DL6*$DJ6))/$DJ6),"")</f>
        <v/>
      </c>
      <c r="DN6" s="2">
        <f t="shared" si="12"/>
        <v>3</v>
      </c>
      <c r="DO6" s="2">
        <f t="shared" si="13"/>
        <v>5</v>
      </c>
      <c r="DP6" s="8" t="str">
        <f t="shared" si="14"/>
        <v>YL</v>
      </c>
      <c r="DQ6" s="8" t="str">
        <f t="shared" si="15"/>
        <v>VT</v>
      </c>
      <c r="DR6" s="8" t="str">
        <f t="shared" si="16"/>
        <v/>
      </c>
      <c r="DS6" s="8" t="str">
        <f t="shared" si="17"/>
        <v>OR</v>
      </c>
      <c r="DT6" s="8" t="str">
        <f t="shared" si="18"/>
        <v>GD</v>
      </c>
      <c r="DU6" s="8" t="str">
        <f t="shared" si="27"/>
        <v>YL</v>
      </c>
      <c r="DV6" s="8" t="str">
        <f t="shared" si="20"/>
        <v>VT</v>
      </c>
      <c r="DW6" s="8" t="str">
        <f t="shared" si="21"/>
        <v>OR</v>
      </c>
      <c r="DX6" s="8" t="str">
        <f t="shared" si="22"/>
        <v/>
      </c>
      <c r="DY6" s="8" t="str">
        <f t="shared" ref="DY6:DY8" si="29">IF(DO6="","",IF(DO6&lt;1,CHOOSE(20*DO6,"GY","VT",,,"BL",,,,,"GN"),CHOOSE(DO6,"BN","RD",,,"GD",,,,,"SR",,,,,,,,,,"")))</f>
        <v>GD</v>
      </c>
    </row>
    <row r="7" spans="1:129">
      <c r="A7" s="1" t="str">
        <f>$DD7&amp;" "&amp;100*$CR7&amp;"%"&amp;" "&amp;TEXT($DF7/1000,"0.0")</f>
        <v>560K 5% 0.6</v>
      </c>
      <c r="B7" t="str">
        <f>"Resistor"&amp;" "&amp;$DD7&amp;" "&amp;100*$CR7&amp;"%"&amp; " AXIAL-"&amp;TEXT($DF7/1000,"0.0")</f>
        <v>Resistor 560K 5% AXIAL-0.6</v>
      </c>
      <c r="C7" s="2">
        <v>5000268</v>
      </c>
      <c r="D7" s="2" t="s">
        <v>125</v>
      </c>
      <c r="E7" s="2" t="str">
        <f>"="&amp;VLOOKUP($DG7,Sheet2!$B$2:$Q$9,MATCH(MID(E$2,8,LEN(E$2)-17),Sheet2!$B$1:$Q$1,0))&amp;"mm"</f>
        <v>=12mm</v>
      </c>
      <c r="F7" s="2" t="str">
        <f>"="&amp;VLOOKUP($DG7,Sheet2!$B$2:$Q$9,MATCH(MID(F$2,8,LEN(F$2)-17),Sheet2!$B$1:$Q$1,0))&amp;"mm"</f>
        <v>=5mm</v>
      </c>
      <c r="G7" s="2" t="str">
        <f>"="&amp;VLOOKUP($DG7,Sheet2!$B$2:$Q$9,MATCH(MID(G$2,8,LEN(G$2)-17),Sheet2!$B$1:$Q$1,0))&amp;"mm"</f>
        <v>=4.5mm</v>
      </c>
      <c r="H7" s="2" t="str">
        <f>"="&amp;VLOOKUP($DG7,Sheet2!$B$2:$Q$9,MATCH(MID(H$2,8,LEN(H$2)-17),Sheet2!$B$1:$Q$1,0))&amp;"mm"</f>
        <v>=0.22mm</v>
      </c>
      <c r="I7" s="2" t="str">
        <f>"="&amp;VLOOKUP($DG7,Sheet2!$B$2:$Q$9,MATCH(MID(I$2,8,LEN(I$2)-17),Sheet2!$B$1:$Q$1,0))&amp;"mm"</f>
        <v>=7.56mm</v>
      </c>
      <c r="J7" s="2" t="str">
        <f>"="&amp;VLOOKUP($DG7,Sheet2!$B$2:$Q$9,MATCH(MID(J$2,8,LEN(J$2)-17),Sheet2!$B$1:$Q$1,0))&amp;"mm"</f>
        <v>=0.7mm</v>
      </c>
      <c r="K7" s="2" t="str">
        <f>"="&amp;VLOOKUP($DG7,Sheet2!$B$2:$Q$9,MATCH(MID(K$2,8,LEN(K$2)-17),Sheet2!$B$1:$Q$1,0))&amp;"mm"</f>
        <v>=1mm</v>
      </c>
      <c r="L7" s="2" t="str">
        <f>"="&amp;VLOOKUP($DG7,Sheet2!$B$2:$Q$9,MATCH(MID(L$2,8,LEN(L$2)-17),Sheet2!$B$1:$Q$1,0))&amp;"mm"</f>
        <v>=0.7mm</v>
      </c>
      <c r="M7" s="2" t="str">
        <f>"="&amp;VLOOKUP($DG7,Sheet2!$B$2:$Q$9,MATCH(MID(M$2,8,LEN(M$2)-17),Sheet2!$B$1:$Q$1,0))&amp;"mm"</f>
        <v>=15.24mm</v>
      </c>
      <c r="N7" s="2" t="str">
        <f>"="&amp;VLOOKUP($DI7+2,Sheet2!$U$1:$X$4,MATCH(MID(N$2,8,LEN(N$2)-17),Sheet2!$U$1:$X$1,0))</f>
        <v>=0.135</v>
      </c>
      <c r="O7" s="2" t="str">
        <f>"="&amp;VLOOKUP($DI7+2,Sheet2!$U$1:$X$4,MATCH(MID(O$2,8,LEN(O$2)-17),Sheet2!$U$1:$X$1,0))</f>
        <v>=0.07</v>
      </c>
      <c r="P7" s="2" t="str">
        <f>"="&amp;VLOOKUP($DG7,Sheet2!$B$2:$Q$9,MATCH(MID(P$2,8,LEN(P$2)-17),Sheet2!$B$1:$Q$1,0))&amp;"mm"</f>
        <v>=0.04mm</v>
      </c>
      <c r="Q7" s="25" t="str">
        <f t="shared" si="23"/>
        <v>=0.65mm</v>
      </c>
      <c r="R7" s="2" t="s">
        <v>8</v>
      </c>
      <c r="S7" s="11" t="str">
        <f>IF(INDEX($DU7:$DY7,1,MATCH(MID(S$2,8,5),$DU$2:$DY$2,0))=RIGHT(S$2,2),"U","S")</f>
        <v>S</v>
      </c>
      <c r="T7" s="11" t="str">
        <f>IF(INDEX($DU7:$DY7,1,MATCH(MID(T$2,8,5),$DU$2:$DY$2,0))=RIGHT(T$2,2),"U","S")</f>
        <v>S</v>
      </c>
      <c r="U7" s="11" t="str">
        <f>IF(INDEX($DU7:$DY7,1,MATCH(MID(U$2,8,5),$DU$2:$DY$2,0))=RIGHT(U$2,2),"U","S")</f>
        <v>S</v>
      </c>
      <c r="V7" s="11" t="str">
        <f>IF(INDEX($DU7:$DY7,1,MATCH(MID(V$2,8,5),$DU$2:$DY$2,0))=RIGHT(V$2,2),"U","S")</f>
        <v>S</v>
      </c>
      <c r="W7" s="11" t="str">
        <f>IF(INDEX($DU7:$DY7,1,MATCH(MID(W$2,8,5),$DU$2:$DY$2,0))=RIGHT(W$2,2),"U","S")</f>
        <v>U</v>
      </c>
      <c r="X7" s="11" t="str">
        <f>IF(INDEX($DU7:$DY7,1,MATCH(MID(X$2,8,5),$DU$2:$DY$2,0))=RIGHT(X$2,2),"U","S")</f>
        <v>S</v>
      </c>
      <c r="Y7" s="11" t="str">
        <f>IF(INDEX($DU7:$DY7,1,MATCH(MID(Y$2,8,5),$DU$2:$DY$2,0))=RIGHT(Y$2,2),"U","S")</f>
        <v>S</v>
      </c>
      <c r="Z7" s="11" t="str">
        <f>IF(INDEX($DU7:$DY7,1,MATCH(MID(Z$2,8,5),$DU$2:$DY$2,0))=RIGHT(Z$2,2),"U","S")</f>
        <v>S</v>
      </c>
      <c r="AA7" s="11" t="str">
        <f>IF(INDEX($DU7:$DY7,1,MATCH(MID(AA$2,8,5),$DU$2:$DY$2,0))=RIGHT(AA$2,2),"U","S")</f>
        <v>S</v>
      </c>
      <c r="AB7" s="11" t="str">
        <f>IF(INDEX($DU7:$DY7,1,MATCH(MID(AB$2,8,5),$DU$2:$DY$2,0))=RIGHT(AB$2,2),"U","S")</f>
        <v>S</v>
      </c>
      <c r="AC7" s="11" t="str">
        <f>IF(INDEX($DU7:$DY7,1,MATCH(MID(AC$2,8,5),$DU$2:$DY$2,0))=RIGHT(AC$2,2),"U","S")</f>
        <v>S</v>
      </c>
      <c r="AD7" s="11" t="str">
        <f>IF(INDEX($DU7:$DY7,1,MATCH(MID(AD$2,8,5),$DU$2:$DY$2,0))=RIGHT(AD$2,2),"U","S")</f>
        <v>S</v>
      </c>
      <c r="AE7" s="11" t="str">
        <f>IF(INDEX($DU7:$DY7,1,MATCH(MID(AE$2,8,5),$DU$2:$DY$2,0))=RIGHT(AE$2,2),"U","S")</f>
        <v>S</v>
      </c>
      <c r="AF7" s="11" t="str">
        <f>IF(INDEX($DU7:$DY7,1,MATCH(MID(AF$2,8,5),$DU$2:$DY$2,0))=RIGHT(AF$2,2),"U","S")</f>
        <v>U</v>
      </c>
      <c r="AG7" s="11" t="str">
        <f>IF(INDEX($DU7:$DY7,1,MATCH(MID(AG$2,8,5),$DU$2:$DY$2,0))=RIGHT(AG$2,2),"U","S")</f>
        <v>S</v>
      </c>
      <c r="AH7" s="11" t="str">
        <f>IF(INDEX($DU7:$DY7,1,MATCH(MID(AH$2,8,5),$DU$2:$DY$2,0))=RIGHT(AH$2,2),"U","S")</f>
        <v>S</v>
      </c>
      <c r="AI7" s="11" t="str">
        <f>IF(INDEX($DU7:$DY7,1,MATCH(MID(AI$2,8,5),$DU$2:$DY$2,0))=RIGHT(AI$2,2),"U","S")</f>
        <v>S</v>
      </c>
      <c r="AJ7" s="11" t="str">
        <f>IF(INDEX($DU7:$DY7,1,MATCH(MID(AJ$2,8,5),$DU$2:$DY$2,0))=RIGHT(AJ$2,2),"U","S")</f>
        <v>S</v>
      </c>
      <c r="AK7" s="11" t="str">
        <f>IF(INDEX($DU7:$DY7,1,MATCH(MID(AK$2,8,5),$DU$2:$DY$2,0))=RIGHT(AK$2,2),"U","S")</f>
        <v>S</v>
      </c>
      <c r="AL7" s="11" t="str">
        <f>IF(INDEX($DU7:$DY7,1,MATCH(MID(AL$2,8,5),$DU$2:$DY$2,0))=RIGHT(AL$2,2),"U","S")</f>
        <v>S</v>
      </c>
      <c r="AM7" s="11" t="str">
        <f>IF(INDEX($DU7:$DY7,1,MATCH(MID(AM$2,8,5),$DU$2:$DY$2,0))=RIGHT(AM$2,2),"U","S")</f>
        <v>S</v>
      </c>
      <c r="AN7" s="11" t="str">
        <f>IF(INDEX($DU7:$DY7,1,MATCH(MID(AN$2,8,5),$DU$2:$DY$2,0))=RIGHT(AN$2,2),"U","S")</f>
        <v>S</v>
      </c>
      <c r="AO7" s="11" t="str">
        <f>IF(INDEX($DU7:$DY7,1,MATCH(MID(AO$2,8,5),$DU$2:$DY$2,0))=RIGHT(AO$2,2),"U","S")</f>
        <v>S</v>
      </c>
      <c r="AP7" s="11" t="str">
        <f>IF(INDEX($DU7:$DY7,1,MATCH(MID(AP$2,8,5),$DU$2:$DY$2,0))=RIGHT(AP$2,2),"U","S")</f>
        <v>S</v>
      </c>
      <c r="AQ7" s="11" t="str">
        <f>IF(INDEX($DU7:$DY7,1,MATCH(MID(AQ$2,8,5),$DU$2:$DY$2,0))=RIGHT(AQ$2,2),"U","S")</f>
        <v>S</v>
      </c>
      <c r="AR7" s="11" t="str">
        <f>IF(INDEX($DU7:$DY7,1,MATCH(MID(AR$2,8,5),$DU$2:$DY$2,0))=RIGHT(AR$2,2),"U","S")</f>
        <v>S</v>
      </c>
      <c r="AS7" s="11" t="str">
        <f>IF(INDEX($DU7:$DY7,1,MATCH(MID(AS$2,8,5),$DU$2:$DY$2,0))=RIGHT(AS$2,2),"U","S")</f>
        <v>S</v>
      </c>
      <c r="AT7" s="11" t="str">
        <f>IF(INDEX($DU7:$DY7,1,MATCH(MID(AT$2,8,5),$DU$2:$DY$2,0))=RIGHT(AT$2,2),"U","S")</f>
        <v>S</v>
      </c>
      <c r="AU7" s="11" t="str">
        <f>IF(INDEX($DU7:$DY7,1,MATCH(MID(AU$2,8,5),$DU$2:$DY$2,0))=RIGHT(AU$2,2),"U","S")</f>
        <v>S</v>
      </c>
      <c r="AV7" s="11" t="str">
        <f>IF(INDEX($DU7:$DY7,1,MATCH(MID(AV$2,8,5),$DU$2:$DY$2,0))=RIGHT(AV$2,2),"U","S")</f>
        <v>S</v>
      </c>
      <c r="AW7" s="11" t="str">
        <f>IF(INDEX($DU7:$DY7,1,MATCH(MID(AW$2,8,5),$DU$2:$DY$2,0))=RIGHT(AW$2,2),"U","S")</f>
        <v>S</v>
      </c>
      <c r="AX7" s="11" t="str">
        <f>IF(INDEX($DU7:$DY7,1,MATCH(MID(AX$2,8,5),$DU$2:$DY$2,0))=RIGHT(AX$2,2),"U","S")</f>
        <v>S</v>
      </c>
      <c r="AY7" s="11" t="str">
        <f>IF(INDEX($DU7:$DY7,1,MATCH(MID(AY$2,8,5),$DU$2:$DY$2,0))=RIGHT(AY$2,2),"U","S")</f>
        <v>S</v>
      </c>
      <c r="AZ7" s="11" t="str">
        <f>IF(INDEX($DU7:$DY7,1,MATCH(MID(AZ$2,8,5),$DU$2:$DY$2,0))=RIGHT(AZ$2,2),"U","S")</f>
        <v>S</v>
      </c>
      <c r="BA7" s="11" t="str">
        <f>IF(INDEX($DU7:$DY7,1,MATCH(MID(BA$2,8,5),$DU$2:$DY$2,0))=RIGHT(BA$2,2),"U","S")</f>
        <v>S</v>
      </c>
      <c r="BB7" s="11" t="str">
        <f>IF(INDEX($DU7:$DY7,1,MATCH(MID(BB$2,8,5),$DU$2:$DY$2,0))=RIGHT(BB$2,2),"U","S")</f>
        <v>U</v>
      </c>
      <c r="BC7" s="11" t="str">
        <f>IF(INDEX($DU7:$DY7,1,MATCH(MID(BC$2,8,5),$DU$2:$DY$2,0))=RIGHT(BC$2,2),"U","S")</f>
        <v>S</v>
      </c>
      <c r="BD7" s="11" t="str">
        <f>IF(INDEX($DU7:$DY7,1,MATCH(MID(BD$2,8,5),$DU$2:$DY$2,0))=RIGHT(BD$2,2),"U","S")</f>
        <v>S</v>
      </c>
      <c r="BE7" s="11" t="str">
        <f>IF(INDEX($DU7:$DY7,1,MATCH(MID(BE$2,8,5),$DU$2:$DY$2,0))=RIGHT(BE$2,2),"U","S")</f>
        <v>S</v>
      </c>
      <c r="BF7" s="11" t="str">
        <f>IF(INDEX($DU7:$DY7,1,MATCH(MID(BF$2,8,5),$DU$2:$DY$2,0))=RIGHT(BF$2,2),"U","S")</f>
        <v>S</v>
      </c>
      <c r="BG7" s="11" t="str">
        <f>IF(INDEX($DU7:$DY7,1,MATCH(MID(BG$2,8,5),$DU$2:$DY$2,0))=RIGHT(BG$2,2),"U","S")</f>
        <v>S</v>
      </c>
      <c r="BH7" s="11" t="str">
        <f>IF(INDEX($DU7:$DY7,1,MATCH(MID(BH$2,8,5),$DU$2:$DY$2,0))=RIGHT(BH$2,2),"U","S")</f>
        <v>S</v>
      </c>
      <c r="BI7" s="11" t="str">
        <f>IF(INDEX($DU7:$DY7,1,MATCH(MID(BI$2,8,5),$DU$2:$DY$2,0))=RIGHT(BI$2,2),"U","S")</f>
        <v>S</v>
      </c>
      <c r="BJ7" s="11" t="str">
        <f>IF(INDEX($DU7:$DY7,1,MATCH(MID(BJ$2,8,5),$DU$2:$DY$2,0))=RIGHT(BJ$2,2),"U","S")</f>
        <v>S</v>
      </c>
      <c r="BK7" s="11" t="str">
        <f>IF(INDEX($DU7:$DY7,1,MATCH(MID(BK$2,8,5),$DU$2:$DY$2,0))=RIGHT(BK$2,2),"U","S")</f>
        <v>S</v>
      </c>
      <c r="BL7" s="11" t="str">
        <f>IF(INDEX($DU7:$DY7,1,MATCH(MID(BL$2,8,5),$DU$2:$DY$2,0))=RIGHT(BL$2,2),"U","S")</f>
        <v>S</v>
      </c>
      <c r="BM7" s="11" t="str">
        <f>IF(INDEX($DU7:$DY7,1,MATCH(MID(BM$2,8,5),$DU$2:$DY$2,0))=RIGHT(BM$2,2),"U","S")</f>
        <v>S</v>
      </c>
      <c r="BN7" s="11" t="str">
        <f>IF(INDEX($DU7:$DY7,1,MATCH(MID(BN$2,8,5),$DU$2:$DY$2,0))=RIGHT(BN$2,2),"U","S")</f>
        <v>S</v>
      </c>
      <c r="BO7" s="11" t="str">
        <f>IF(INDEX($DU7:$DY7,1,MATCH(MID(BO$2,8,5),$DU$2:$DY$2,0))=RIGHT(BO$2,2),"U","S")</f>
        <v>S</v>
      </c>
      <c r="BP7" s="11" t="str">
        <f>IF(INDEX($DU7:$DY7,1,MATCH(MID(BP$2,8,5),$DU$2:$DY$2,0))=RIGHT(BP$2,2),"U","S")</f>
        <v>S</v>
      </c>
      <c r="BQ7" s="11" t="str">
        <f>IF(INDEX($DU7:$DY7,1,MATCH(MID(BQ$2,8,5),$DU$2:$DY$2,0))=RIGHT(BQ$2,2),"U","S")</f>
        <v>S</v>
      </c>
      <c r="BR7" s="11" t="str">
        <f>IF(INDEX($DU7:$DY7,1,MATCH(MID(BR$2,8,5),$DU$2:$DY$2,0))=RIGHT(BR$2,2),"U","S")</f>
        <v>U</v>
      </c>
      <c r="BS7" s="11" t="str">
        <f>IF(INDEX($DU7:$DY7,1,MATCH(MID(BS$2,8,5),$DU$2:$DY$2,0))=RIGHT(BS$2,2),"U","S")</f>
        <v>S</v>
      </c>
      <c r="BT7" s="11" t="str">
        <f>IF(INDEX($DU7:$DY7,1,MATCH(MID(BT$2,8,5),$DU$2:$DY$2,0))=RIGHT(BT$2,2),"U","S")</f>
        <v>S</v>
      </c>
      <c r="BU7" s="11" t="str">
        <f>IF(INDEX($DU7:$DY7,1,MATCH(MID(BU$2,8,5),$DU$2:$DY$2,0))=RIGHT(BU$2,2),"U","S")</f>
        <v>S</v>
      </c>
      <c r="BV7" s="11" t="str">
        <f>IF(INDEX($DU7:$DY7,1,MATCH(MID(BV$2,8,5),$DU$2:$DY$2,0))=RIGHT(BV$2,2),"U","S")</f>
        <v>S</v>
      </c>
      <c r="BW7" s="11" t="str">
        <f>IF(INDEX($DU7:$DY7,1,MATCH(MID(BW$2,8,5),$DU$2:$DY$2,0))=RIGHT(BW$2,2),"U","S")</f>
        <v>S</v>
      </c>
      <c r="BX7" s="11" t="str">
        <f>IF(INDEX($DU7:$DY7,1,MATCH(MID(BX$2,8,5),$DU$2:$DY$2,0))=RIGHT(BX$2,2),"U","S")</f>
        <v>S</v>
      </c>
      <c r="BY7" s="11" t="str">
        <f>IF(INDEX($DU7:$DY7,1,MATCH(MID(BY$2,8,5),$DU$2:$DY$2,0))=RIGHT(BY$2,2),"U","S")</f>
        <v>S</v>
      </c>
      <c r="BZ7" s="11" t="str">
        <f>IF(INDEX($DU7:$DY7,1,MATCH(MID(BZ$2,8,5),$DU$2:$DY$2,0))=RIGHT(BZ$2,2),"U","S")</f>
        <v>S</v>
      </c>
      <c r="CA7" s="19" t="s">
        <v>118</v>
      </c>
      <c r="CB7" s="19" t="s">
        <v>118</v>
      </c>
      <c r="CC7" s="19" t="s">
        <v>118</v>
      </c>
      <c r="CD7" s="24"/>
      <c r="CE7" s="2">
        <f>VLOOKUP($DI7+2,Sheet2!$U$1:$X$4,MATCH(CE$2,Sheet2!$U$1:$X$1,0))</f>
        <v>0.13500000000000001</v>
      </c>
      <c r="CF7" s="2">
        <f>VLOOKUP($DI7+2,Sheet2!$U$1:$X$4,MATCH(CF$2,Sheet2!$U$1:$X$1,0))</f>
        <v>7.0000000000000007E-2</v>
      </c>
      <c r="CG7" s="2">
        <f>VLOOKUP($DG7,Sheet2!$B$2:$Q$9,MATCH(CG$2,Sheet2!$B$1:$Q$1,0))</f>
        <v>12</v>
      </c>
      <c r="CH7" s="2">
        <f>VLOOKUP($DG7,Sheet2!$B$2:$Q$9,MATCH(CH$2,Sheet2!$B$1:$Q$1,0))</f>
        <v>7.56</v>
      </c>
      <c r="CI7" s="2">
        <f>VLOOKUP($DG7,Sheet2!$B$2:$Q$9,MATCH(CI$2,Sheet2!$B$1:$Q$1,0))</f>
        <v>1.6518181818181819</v>
      </c>
      <c r="CJ7" s="2">
        <f>VLOOKUP($DG7,Sheet2!$B$2:$Q$9,MATCH(CJ$2,Sheet2!$B$1:$Q$1,0))</f>
        <v>0.7</v>
      </c>
      <c r="CK7" s="2">
        <f>VLOOKUP($DG7,Sheet2!$B$2:$Q$9,MATCH(CK$2,Sheet2!$B$1:$Q$1,0))</f>
        <v>1.0549999999999999</v>
      </c>
      <c r="CL7" s="22">
        <f t="shared" si="24"/>
        <v>0.29970000000000002</v>
      </c>
      <c r="CM7" s="23">
        <f t="shared" si="25"/>
        <v>0.65211818181818182</v>
      </c>
      <c r="CN7" s="2" t="s">
        <v>96</v>
      </c>
      <c r="CO7">
        <v>56</v>
      </c>
      <c r="CP7">
        <v>10000</v>
      </c>
      <c r="CQ7" s="18">
        <f t="shared" si="26"/>
        <v>560000</v>
      </c>
      <c r="CR7" s="13">
        <v>0.05</v>
      </c>
      <c r="CS7" s="6" t="b">
        <f t="shared" si="0"/>
        <v>0</v>
      </c>
      <c r="CT7" s="14" t="str">
        <f t="shared" si="1"/>
        <v>GENERAL</v>
      </c>
      <c r="CU7" s="14">
        <f t="shared" si="2"/>
        <v>1000</v>
      </c>
      <c r="CV7" s="14">
        <f>INT($CQ7/$CU7)</f>
        <v>560</v>
      </c>
      <c r="CW7" s="14">
        <f>INT(10*$CQ7/$CU7-10*$CV7)</f>
        <v>0</v>
      </c>
      <c r="CX7" s="14">
        <f>INT(100*$CQ7/$CU7-100*$CV7-10*$CW7)</f>
        <v>0</v>
      </c>
      <c r="CY7" s="14">
        <f>INT(1000*$CQ7/$CU7-1000*$CV7-100*$CW7-10*$CX7)</f>
        <v>0</v>
      </c>
      <c r="CZ7" s="14" t="str">
        <f t="shared" si="3"/>
        <v>K</v>
      </c>
      <c r="DA7" s="14" t="str">
        <f t="shared" si="4"/>
        <v/>
      </c>
      <c r="DB7" s="14" t="str">
        <f t="shared" si="5"/>
        <v/>
      </c>
      <c r="DC7" s="14" t="str">
        <f t="shared" si="6"/>
        <v/>
      </c>
      <c r="DD7" s="6" t="str">
        <f t="shared" si="7"/>
        <v>560K</v>
      </c>
      <c r="DE7" s="6" t="str">
        <f t="shared" si="8"/>
        <v>560K</v>
      </c>
      <c r="DF7" s="2">
        <v>600</v>
      </c>
      <c r="DG7" s="2">
        <f>VLOOKUP($DF7,Sheet2!$A$2:$B$15,2,0)</f>
        <v>5</v>
      </c>
      <c r="DH7" s="2">
        <f>INT(LOG($CQ7,10))</f>
        <v>5</v>
      </c>
      <c r="DI7" s="2">
        <f t="shared" si="10"/>
        <v>2</v>
      </c>
      <c r="DJ7" s="7">
        <f t="shared" si="11"/>
        <v>100000</v>
      </c>
      <c r="DK7" s="2">
        <f>IF(3-LOG(DK$2)&lt;$DI7,IF(1+$DI7-LOG(DK$2)&gt;$DI7,"",INT($CQ7/$DJ7)),"")</f>
        <v>5</v>
      </c>
      <c r="DL7" s="2">
        <f>IF(3-LOG(DL$2)&lt;$DI7,IF(1+$DI7-LOG(DL$2)&gt;$DI7,"",INT(10*$CQ7/$DJ7-10*$DK7)),"")</f>
        <v>6</v>
      </c>
      <c r="DM7" s="2" t="str">
        <f>IF(3-LOG(DM$2)&lt;$DI7,IF(1+$DI7-LOG(DM$2)&gt;$DI7,"",INT(100*$CQ7-(100*$DK7*$DJ7+10*$DL7*$DJ7))/$DJ7),"")</f>
        <v/>
      </c>
      <c r="DN7" s="2">
        <f t="shared" si="12"/>
        <v>4</v>
      </c>
      <c r="DO7" s="2">
        <f t="shared" si="13"/>
        <v>5</v>
      </c>
      <c r="DP7" s="8" t="str">
        <f t="shared" si="14"/>
        <v>GN</v>
      </c>
      <c r="DQ7" s="8" t="str">
        <f t="shared" si="15"/>
        <v>BL</v>
      </c>
      <c r="DR7" s="8" t="str">
        <f t="shared" si="16"/>
        <v/>
      </c>
      <c r="DS7" s="8" t="str">
        <f t="shared" si="17"/>
        <v>YL</v>
      </c>
      <c r="DT7" s="8" t="str">
        <f t="shared" si="18"/>
        <v>GD</v>
      </c>
      <c r="DU7" s="8" t="str">
        <f t="shared" si="27"/>
        <v>GN</v>
      </c>
      <c r="DV7" s="8" t="str">
        <f t="shared" si="20"/>
        <v>BL</v>
      </c>
      <c r="DW7" s="8" t="str">
        <f t="shared" si="21"/>
        <v>YL</v>
      </c>
      <c r="DX7" s="8" t="str">
        <f t="shared" si="22"/>
        <v/>
      </c>
      <c r="DY7" s="8" t="str">
        <f t="shared" si="29"/>
        <v>GD</v>
      </c>
    </row>
    <row r="8" spans="1:129">
      <c r="A8" s="1" t="str">
        <f>$DD8&amp;" "&amp;100*$CR8&amp;"%"&amp;" "&amp;TEXT($DF8/1000,"0.0")</f>
        <v>8M2 5% 0.8</v>
      </c>
      <c r="B8" t="str">
        <f>"Resistor"&amp;" "&amp;$DD8&amp;" "&amp;100*$CR8&amp;"%"&amp; " AXIAL-"&amp;TEXT($DF8/1000,"0.0")</f>
        <v>Resistor 8M2 5% AXIAL-0.8</v>
      </c>
      <c r="C8" s="2">
        <v>5000268</v>
      </c>
      <c r="D8" s="2" t="s">
        <v>125</v>
      </c>
      <c r="E8" s="2" t="str">
        <f>"="&amp;VLOOKUP($DG8,Sheet2!$B$2:$Q$9,MATCH(MID(E$2,8,LEN(E$2)-17),Sheet2!$B$1:$Q$1,0))&amp;"mm"</f>
        <v>=16mm</v>
      </c>
      <c r="F8" s="2" t="str">
        <f>"="&amp;VLOOKUP($DG8,Sheet2!$B$2:$Q$9,MATCH(MID(F$2,8,LEN(F$2)-17),Sheet2!$B$1:$Q$1,0))&amp;"mm"</f>
        <v>=5.5mm</v>
      </c>
      <c r="G8" s="2" t="str">
        <f>"="&amp;VLOOKUP($DG8,Sheet2!$B$2:$Q$9,MATCH(MID(G$2,8,LEN(G$2)-17),Sheet2!$B$1:$Q$1,0))&amp;"mm"</f>
        <v>=4.95mm</v>
      </c>
      <c r="H8" s="2" t="str">
        <f>"="&amp;VLOOKUP($DG8,Sheet2!$B$2:$Q$9,MATCH(MID(H$2,8,LEN(H$2)-17),Sheet2!$B$1:$Q$1,0))&amp;"mm"</f>
        <v>=0.22mm</v>
      </c>
      <c r="I8" s="2" t="str">
        <f>"="&amp;VLOOKUP($DG8,Sheet2!$B$2:$Q$9,MATCH(MID(I$2,8,LEN(I$2)-17),Sheet2!$B$1:$Q$1,0))&amp;"mm"</f>
        <v>=10.08mm</v>
      </c>
      <c r="J8" s="2" t="str">
        <f>"="&amp;VLOOKUP($DG8,Sheet2!$B$2:$Q$9,MATCH(MID(J$2,8,LEN(J$2)-17),Sheet2!$B$1:$Q$1,0))&amp;"mm"</f>
        <v>=0.7mm</v>
      </c>
      <c r="K8" s="2" t="str">
        <f>"="&amp;VLOOKUP($DG8,Sheet2!$B$2:$Q$9,MATCH(MID(K$2,8,LEN(K$2)-17),Sheet2!$B$1:$Q$1,0))&amp;"mm"</f>
        <v>=1mm</v>
      </c>
      <c r="L8" s="2" t="str">
        <f>"="&amp;VLOOKUP($DG8,Sheet2!$B$2:$Q$9,MATCH(MID(L$2,8,LEN(L$2)-17),Sheet2!$B$1:$Q$1,0))&amp;"mm"</f>
        <v>=0.7mm</v>
      </c>
      <c r="M8" s="2" t="str">
        <f>"="&amp;VLOOKUP($DG8,Sheet2!$B$2:$Q$9,MATCH(MID(M$2,8,LEN(M$2)-17),Sheet2!$B$1:$Q$1,0))&amp;"mm"</f>
        <v>=20.32mm</v>
      </c>
      <c r="N8" s="2" t="str">
        <f>"="&amp;VLOOKUP($DI8+2,Sheet2!$U$1:$X$4,MATCH(MID(N$2,8,LEN(N$2)-17),Sheet2!$U$1:$X$1,0))</f>
        <v>=0.135</v>
      </c>
      <c r="O8" s="2" t="str">
        <f>"="&amp;VLOOKUP($DI8+2,Sheet2!$U$1:$X$4,MATCH(MID(O$2,8,LEN(O$2)-17),Sheet2!$U$1:$X$1,0))</f>
        <v>=0.07</v>
      </c>
      <c r="P8" s="2" t="str">
        <f>"="&amp;VLOOKUP($DG8,Sheet2!$B$2:$Q$9,MATCH(MID(P$2,8,LEN(P$2)-17),Sheet2!$B$1:$Q$1,0))&amp;"mm"</f>
        <v>=0.04mm</v>
      </c>
      <c r="Q8" s="25" t="str">
        <f t="shared" si="23"/>
        <v>=1.18mm</v>
      </c>
      <c r="R8" s="2" t="s">
        <v>8</v>
      </c>
      <c r="S8" s="11" t="str">
        <f>IF(INDEX($DU8:$DY8,1,MATCH(MID(S$2,8,5),$DU$2:$DY$2,0))=RIGHT(S$2,2),"U","S")</f>
        <v>S</v>
      </c>
      <c r="T8" s="11" t="str">
        <f>IF(INDEX($DU8:$DY8,1,MATCH(MID(T$2,8,5),$DU$2:$DY$2,0))=RIGHT(T$2,2),"U","S")</f>
        <v>S</v>
      </c>
      <c r="U8" s="11" t="str">
        <f>IF(INDEX($DU8:$DY8,1,MATCH(MID(U$2,8,5),$DU$2:$DY$2,0))=RIGHT(U$2,2),"U","S")</f>
        <v>S</v>
      </c>
      <c r="V8" s="11" t="str">
        <f>IF(INDEX($DU8:$DY8,1,MATCH(MID(V$2,8,5),$DU$2:$DY$2,0))=RIGHT(V$2,2),"U","S")</f>
        <v>S</v>
      </c>
      <c r="W8" s="11" t="str">
        <f>IF(INDEX($DU8:$DY8,1,MATCH(MID(W$2,8,5),$DU$2:$DY$2,0))=RIGHT(W$2,2),"U","S")</f>
        <v>S</v>
      </c>
      <c r="X8" s="11" t="str">
        <f>IF(INDEX($DU8:$DY8,1,MATCH(MID(X$2,8,5),$DU$2:$DY$2,0))=RIGHT(X$2,2),"U","S")</f>
        <v>U</v>
      </c>
      <c r="Y8" s="11" t="str">
        <f>IF(INDEX($DU8:$DY8,1,MATCH(MID(Y$2,8,5),$DU$2:$DY$2,0))=RIGHT(Y$2,2),"U","S")</f>
        <v>S</v>
      </c>
      <c r="Z8" s="11" t="str">
        <f>IF(INDEX($DU8:$DY8,1,MATCH(MID(Z$2,8,5),$DU$2:$DY$2,0))=RIGHT(Z$2,2),"U","S")</f>
        <v>S</v>
      </c>
      <c r="AA8" s="11" t="str">
        <f>IF(INDEX($DU8:$DY8,1,MATCH(MID(AA$2,8,5),$DU$2:$DY$2,0))=RIGHT(AA$2,2),"U","S")</f>
        <v>S</v>
      </c>
      <c r="AB8" s="11" t="str">
        <f>IF(INDEX($DU8:$DY8,1,MATCH(MID(AB$2,8,5),$DU$2:$DY$2,0))=RIGHT(AB$2,2),"U","S")</f>
        <v>S</v>
      </c>
      <c r="AC8" s="11" t="str">
        <f>IF(INDEX($DU8:$DY8,1,MATCH(MID(AC$2,8,5),$DU$2:$DY$2,0))=RIGHT(AC$2,2),"U","S")</f>
        <v>S</v>
      </c>
      <c r="AD8" s="11" t="str">
        <f>IF(INDEX($DU8:$DY8,1,MATCH(MID(AD$2,8,5),$DU$2:$DY$2,0))=RIGHT(AD$2,2),"U","S")</f>
        <v>S</v>
      </c>
      <c r="AE8" s="11" t="str">
        <f>IF(INDEX($DU8:$DY8,1,MATCH(MID(AE$2,8,5),$DU$2:$DY$2,0))=RIGHT(AE$2,2),"U","S")</f>
        <v>S</v>
      </c>
      <c r="AF8" s="11" t="str">
        <f>IF(INDEX($DU8:$DY8,1,MATCH(MID(AF$2,8,5),$DU$2:$DY$2,0))=RIGHT(AF$2,2),"U","S")</f>
        <v>S</v>
      </c>
      <c r="AG8" s="11" t="str">
        <f>IF(INDEX($DU8:$DY8,1,MATCH(MID(AG$2,8,5),$DU$2:$DY$2,0))=RIGHT(AG$2,2),"U","S")</f>
        <v>S</v>
      </c>
      <c r="AH8" s="11" t="str">
        <f>IF(INDEX($DU8:$DY8,1,MATCH(MID(AH$2,8,5),$DU$2:$DY$2,0))=RIGHT(AH$2,2),"U","S")</f>
        <v>S</v>
      </c>
      <c r="AI8" s="11" t="str">
        <f>IF(INDEX($DU8:$DY8,1,MATCH(MID(AI$2,8,5),$DU$2:$DY$2,0))=RIGHT(AI$2,2),"U","S")</f>
        <v>S</v>
      </c>
      <c r="AJ8" s="11" t="str">
        <f>IF(INDEX($DU8:$DY8,1,MATCH(MID(AJ$2,8,5),$DU$2:$DY$2,0))=RIGHT(AJ$2,2),"U","S")</f>
        <v>S</v>
      </c>
      <c r="AK8" s="11" t="str">
        <f>IF(INDEX($DU8:$DY8,1,MATCH(MID(AK$2,8,5),$DU$2:$DY$2,0))=RIGHT(AK$2,2),"U","S")</f>
        <v>S</v>
      </c>
      <c r="AL8" s="11" t="str">
        <f>IF(INDEX($DU8:$DY8,1,MATCH(MID(AL$2,8,5),$DU$2:$DY$2,0))=RIGHT(AL$2,2),"U","S")</f>
        <v>U</v>
      </c>
      <c r="AM8" s="11" t="str">
        <f>IF(INDEX($DU8:$DY8,1,MATCH(MID(AM$2,8,5),$DU$2:$DY$2,0))=RIGHT(AM$2,2),"U","S")</f>
        <v>S</v>
      </c>
      <c r="AN8" s="11" t="str">
        <f>IF(INDEX($DU8:$DY8,1,MATCH(MID(AN$2,8,5),$DU$2:$DY$2,0))=RIGHT(AN$2,2),"U","S")</f>
        <v>S</v>
      </c>
      <c r="AO8" s="11" t="str">
        <f>IF(INDEX($DU8:$DY8,1,MATCH(MID(AO$2,8,5),$DU$2:$DY$2,0))=RIGHT(AO$2,2),"U","S")</f>
        <v>S</v>
      </c>
      <c r="AP8" s="11" t="str">
        <f>IF(INDEX($DU8:$DY8,1,MATCH(MID(AP$2,8,5),$DU$2:$DY$2,0))=RIGHT(AP$2,2),"U","S")</f>
        <v>S</v>
      </c>
      <c r="AQ8" s="11" t="str">
        <f>IF(INDEX($DU8:$DY8,1,MATCH(MID(AQ$2,8,5),$DU$2:$DY$2,0))=RIGHT(AQ$2,2),"U","S")</f>
        <v>S</v>
      </c>
      <c r="AR8" s="11" t="str">
        <f>IF(INDEX($DU8:$DY8,1,MATCH(MID(AR$2,8,5),$DU$2:$DY$2,0))=RIGHT(AR$2,2),"U","S")</f>
        <v>S</v>
      </c>
      <c r="AS8" s="11" t="str">
        <f>IF(INDEX($DU8:$DY8,1,MATCH(MID(AS$2,8,5),$DU$2:$DY$2,0))=RIGHT(AS$2,2),"U","S")</f>
        <v>S</v>
      </c>
      <c r="AT8" s="11" t="str">
        <f>IF(INDEX($DU8:$DY8,1,MATCH(MID(AT$2,8,5),$DU$2:$DY$2,0))=RIGHT(AT$2,2),"U","S")</f>
        <v>S</v>
      </c>
      <c r="AU8" s="11" t="str">
        <f>IF(INDEX($DU8:$DY8,1,MATCH(MID(AU$2,8,5),$DU$2:$DY$2,0))=RIGHT(AU$2,2),"U","S")</f>
        <v>U</v>
      </c>
      <c r="AV8" s="11" t="str">
        <f>IF(INDEX($DU8:$DY8,1,MATCH(MID(AV$2,8,5),$DU$2:$DY$2,0))=RIGHT(AV$2,2),"U","S")</f>
        <v>S</v>
      </c>
      <c r="AW8" s="11" t="str">
        <f>IF(INDEX($DU8:$DY8,1,MATCH(MID(AW$2,8,5),$DU$2:$DY$2,0))=RIGHT(AW$2,2),"U","S")</f>
        <v>S</v>
      </c>
      <c r="AX8" s="11" t="str">
        <f>IF(INDEX($DU8:$DY8,1,MATCH(MID(AX$2,8,5),$DU$2:$DY$2,0))=RIGHT(AX$2,2),"U","S")</f>
        <v>S</v>
      </c>
      <c r="AY8" s="11" t="str">
        <f>IF(INDEX($DU8:$DY8,1,MATCH(MID(AY$2,8,5),$DU$2:$DY$2,0))=RIGHT(AY$2,2),"U","S")</f>
        <v>S</v>
      </c>
      <c r="AZ8" s="11" t="str">
        <f>IF(INDEX($DU8:$DY8,1,MATCH(MID(AZ$2,8,5),$DU$2:$DY$2,0))=RIGHT(AZ$2,2),"U","S")</f>
        <v>S</v>
      </c>
      <c r="BA8" s="11" t="str">
        <f>IF(INDEX($DU8:$DY8,1,MATCH(MID(BA$2,8,5),$DU$2:$DY$2,0))=RIGHT(BA$2,2),"U","S")</f>
        <v>S</v>
      </c>
      <c r="BB8" s="11" t="str">
        <f>IF(INDEX($DU8:$DY8,1,MATCH(MID(BB$2,8,5),$DU$2:$DY$2,0))=RIGHT(BB$2,2),"U","S")</f>
        <v>S</v>
      </c>
      <c r="BC8" s="11" t="str">
        <f>IF(INDEX($DU8:$DY8,1,MATCH(MID(BC$2,8,5),$DU$2:$DY$2,0))=RIGHT(BC$2,2),"U","S")</f>
        <v>S</v>
      </c>
      <c r="BD8" s="11" t="str">
        <f>IF(INDEX($DU8:$DY8,1,MATCH(MID(BD$2,8,5),$DU$2:$DY$2,0))=RIGHT(BD$2,2),"U","S")</f>
        <v>S</v>
      </c>
      <c r="BE8" s="11" t="str">
        <f>IF(INDEX($DU8:$DY8,1,MATCH(MID(BE$2,8,5),$DU$2:$DY$2,0))=RIGHT(BE$2,2),"U","S")</f>
        <v>S</v>
      </c>
      <c r="BF8" s="11" t="str">
        <f>IF(INDEX($DU8:$DY8,1,MATCH(MID(BF$2,8,5),$DU$2:$DY$2,0))=RIGHT(BF$2,2),"U","S")</f>
        <v>S</v>
      </c>
      <c r="BG8" s="11" t="str">
        <f>IF(INDEX($DU8:$DY8,1,MATCH(MID(BG$2,8,5),$DU$2:$DY$2,0))=RIGHT(BG$2,2),"U","S")</f>
        <v>S</v>
      </c>
      <c r="BH8" s="11" t="str">
        <f>IF(INDEX($DU8:$DY8,1,MATCH(MID(BH$2,8,5),$DU$2:$DY$2,0))=RIGHT(BH$2,2),"U","S")</f>
        <v>S</v>
      </c>
      <c r="BI8" s="11" t="str">
        <f>IF(INDEX($DU8:$DY8,1,MATCH(MID(BI$2,8,5),$DU$2:$DY$2,0))=RIGHT(BI$2,2),"U","S")</f>
        <v>S</v>
      </c>
      <c r="BJ8" s="11" t="str">
        <f>IF(INDEX($DU8:$DY8,1,MATCH(MID(BJ$2,8,5),$DU$2:$DY$2,0))=RIGHT(BJ$2,2),"U","S")</f>
        <v>S</v>
      </c>
      <c r="BK8" s="11" t="str">
        <f>IF(INDEX($DU8:$DY8,1,MATCH(MID(BK$2,8,5),$DU$2:$DY$2,0))=RIGHT(BK$2,2),"U","S")</f>
        <v>S</v>
      </c>
      <c r="BL8" s="11" t="str">
        <f>IF(INDEX($DU8:$DY8,1,MATCH(MID(BL$2,8,5),$DU$2:$DY$2,0))=RIGHT(BL$2,2),"U","S")</f>
        <v>S</v>
      </c>
      <c r="BM8" s="11" t="str">
        <f>IF(INDEX($DU8:$DY8,1,MATCH(MID(BM$2,8,5),$DU$2:$DY$2,0))=RIGHT(BM$2,2),"U","S")</f>
        <v>S</v>
      </c>
      <c r="BN8" s="11" t="str">
        <f>IF(INDEX($DU8:$DY8,1,MATCH(MID(BN$2,8,5),$DU$2:$DY$2,0))=RIGHT(BN$2,2),"U","S")</f>
        <v>S</v>
      </c>
      <c r="BO8" s="11" t="str">
        <f>IF(INDEX($DU8:$DY8,1,MATCH(MID(BO$2,8,5),$DU$2:$DY$2,0))=RIGHT(BO$2,2),"U","S")</f>
        <v>S</v>
      </c>
      <c r="BP8" s="11" t="str">
        <f>IF(INDEX($DU8:$DY8,1,MATCH(MID(BP$2,8,5),$DU$2:$DY$2,0))=RIGHT(BP$2,2),"U","S")</f>
        <v>S</v>
      </c>
      <c r="BQ8" s="11" t="str">
        <f>IF(INDEX($DU8:$DY8,1,MATCH(MID(BQ$2,8,5),$DU$2:$DY$2,0))=RIGHT(BQ$2,2),"U","S")</f>
        <v>S</v>
      </c>
      <c r="BR8" s="11" t="str">
        <f>IF(INDEX($DU8:$DY8,1,MATCH(MID(BR$2,8,5),$DU$2:$DY$2,0))=RIGHT(BR$2,2),"U","S")</f>
        <v>U</v>
      </c>
      <c r="BS8" s="11" t="str">
        <f>IF(INDEX($DU8:$DY8,1,MATCH(MID(BS$2,8,5),$DU$2:$DY$2,0))=RIGHT(BS$2,2),"U","S")</f>
        <v>S</v>
      </c>
      <c r="BT8" s="11" t="str">
        <f>IF(INDEX($DU8:$DY8,1,MATCH(MID(BT$2,8,5),$DU$2:$DY$2,0))=RIGHT(BT$2,2),"U","S")</f>
        <v>S</v>
      </c>
      <c r="BU8" s="11" t="str">
        <f>IF(INDEX($DU8:$DY8,1,MATCH(MID(BU$2,8,5),$DU$2:$DY$2,0))=RIGHT(BU$2,2),"U","S")</f>
        <v>S</v>
      </c>
      <c r="BV8" s="11" t="str">
        <f>IF(INDEX($DU8:$DY8,1,MATCH(MID(BV$2,8,5),$DU$2:$DY$2,0))=RIGHT(BV$2,2),"U","S")</f>
        <v>S</v>
      </c>
      <c r="BW8" s="11" t="str">
        <f>IF(INDEX($DU8:$DY8,1,MATCH(MID(BW$2,8,5),$DU$2:$DY$2,0))=RIGHT(BW$2,2),"U","S")</f>
        <v>S</v>
      </c>
      <c r="BX8" s="11" t="str">
        <f>IF(INDEX($DU8:$DY8,1,MATCH(MID(BX$2,8,5),$DU$2:$DY$2,0))=RIGHT(BX$2,2),"U","S")</f>
        <v>S</v>
      </c>
      <c r="BY8" s="11" t="str">
        <f>IF(INDEX($DU8:$DY8,1,MATCH(MID(BY$2,8,5),$DU$2:$DY$2,0))=RIGHT(BY$2,2),"U","S")</f>
        <v>S</v>
      </c>
      <c r="BZ8" s="11" t="str">
        <f>IF(INDEX($DU8:$DY8,1,MATCH(MID(BZ$2,8,5),$DU$2:$DY$2,0))=RIGHT(BZ$2,2),"U","S")</f>
        <v>S</v>
      </c>
      <c r="CA8" s="19" t="s">
        <v>118</v>
      </c>
      <c r="CB8" s="19" t="s">
        <v>118</v>
      </c>
      <c r="CC8" s="19" t="s">
        <v>118</v>
      </c>
      <c r="CD8" s="24"/>
      <c r="CE8" s="2">
        <f>VLOOKUP($DI8+2,Sheet2!$U$1:$X$4,MATCH(CE$2,Sheet2!$U$1:$X$1,0))</f>
        <v>0.13500000000000001</v>
      </c>
      <c r="CF8" s="2">
        <f>VLOOKUP($DI8+2,Sheet2!$U$1:$X$4,MATCH(CF$2,Sheet2!$U$1:$X$1,0))</f>
        <v>7.0000000000000007E-2</v>
      </c>
      <c r="CG8" s="2">
        <f>VLOOKUP($DG8,Sheet2!$B$2:$Q$9,MATCH(CG$2,Sheet2!$B$1:$Q$1,0))</f>
        <v>16</v>
      </c>
      <c r="CH8" s="2">
        <f>VLOOKUP($DG8,Sheet2!$B$2:$Q$9,MATCH(CH$2,Sheet2!$B$1:$Q$1,0))</f>
        <v>10.08</v>
      </c>
      <c r="CI8" s="2">
        <f>VLOOKUP($DG8,Sheet2!$B$2:$Q$9,MATCH(CI$2,Sheet2!$B$1:$Q$1,0))</f>
        <v>2.335</v>
      </c>
      <c r="CJ8" s="2">
        <f>VLOOKUP($DG8,Sheet2!$B$2:$Q$9,MATCH(CJ$2,Sheet2!$B$1:$Q$1,0))</f>
        <v>0.7</v>
      </c>
      <c r="CK8" s="2">
        <f>VLOOKUP($DG8,Sheet2!$B$2:$Q$9,MATCH(CK$2,Sheet2!$B$1:$Q$1,0))</f>
        <v>1.18</v>
      </c>
      <c r="CL8" s="22">
        <f t="shared" si="24"/>
        <v>0.39960000000000001</v>
      </c>
      <c r="CM8" s="23">
        <f t="shared" si="25"/>
        <v>1.2354000000000001</v>
      </c>
      <c r="CN8" s="2" t="s">
        <v>96</v>
      </c>
      <c r="CO8">
        <v>82</v>
      </c>
      <c r="CP8">
        <v>100000</v>
      </c>
      <c r="CQ8" s="18">
        <f t="shared" si="26"/>
        <v>8200000</v>
      </c>
      <c r="CR8" s="13">
        <v>0.05</v>
      </c>
      <c r="CS8" s="6" t="b">
        <f t="shared" si="0"/>
        <v>1</v>
      </c>
      <c r="CT8" s="14" t="str">
        <f t="shared" si="1"/>
        <v>0.0</v>
      </c>
      <c r="CU8" s="14">
        <f t="shared" si="2"/>
        <v>1000000</v>
      </c>
      <c r="CV8" s="14">
        <f>INT($CQ8/$CU8)</f>
        <v>8</v>
      </c>
      <c r="CW8" s="14">
        <f>INT(10*$CQ8/$CU8-10*$CV8)</f>
        <v>2</v>
      </c>
      <c r="CX8" s="14">
        <f>INT(100*$CQ8/$CU8-100*$CV8-10*$CW8)</f>
        <v>0</v>
      </c>
      <c r="CY8" s="14">
        <f>INT(1000*$CQ8/$CU8-1000*$CV8-100*$CW8-10*$CX8)</f>
        <v>0</v>
      </c>
      <c r="CZ8" s="14" t="str">
        <f t="shared" si="3"/>
        <v>M</v>
      </c>
      <c r="DA8" s="14">
        <f t="shared" si="4"/>
        <v>2</v>
      </c>
      <c r="DB8" s="14" t="str">
        <f t="shared" si="5"/>
        <v/>
      </c>
      <c r="DC8" s="14" t="str">
        <f t="shared" si="6"/>
        <v/>
      </c>
      <c r="DD8" s="6" t="str">
        <f t="shared" si="7"/>
        <v>8M2</v>
      </c>
      <c r="DE8" s="6" t="str">
        <f t="shared" si="8"/>
        <v>8.2M</v>
      </c>
      <c r="DF8" s="2">
        <v>800</v>
      </c>
      <c r="DG8" s="2">
        <f>VLOOKUP($DF8,Sheet2!$A$2:$B$15,2,0)</f>
        <v>6</v>
      </c>
      <c r="DH8" s="2">
        <f>INT(LOG($CQ8,10))</f>
        <v>6</v>
      </c>
      <c r="DI8" s="2">
        <f t="shared" si="10"/>
        <v>2</v>
      </c>
      <c r="DJ8" s="7">
        <f t="shared" si="11"/>
        <v>1000000</v>
      </c>
      <c r="DK8" s="2">
        <f>IF(3-LOG(DK$2)&lt;$DI8,IF(1+$DI8-LOG(DK$2)&gt;$DI8,"",INT($CQ8/$DJ8)),"")</f>
        <v>8</v>
      </c>
      <c r="DL8" s="2">
        <f>IF(3-LOG(DL$2)&lt;$DI8,IF(1+$DI8-LOG(DL$2)&gt;$DI8,"",INT(10*$CQ8/$DJ8-10*$DK8)),"")</f>
        <v>2</v>
      </c>
      <c r="DM8" s="2" t="str">
        <f>IF(3-LOG(DM$2)&lt;$DI8,IF(1+$DI8-LOG(DM$2)&gt;$DI8,"",INT(100*$CQ8-(100*$DK8*$DJ8+10*$DL8*$DJ8))/$DJ8),"")</f>
        <v/>
      </c>
      <c r="DN8" s="2">
        <f t="shared" si="12"/>
        <v>5</v>
      </c>
      <c r="DO8" s="2">
        <f t="shared" si="13"/>
        <v>5</v>
      </c>
      <c r="DP8" s="8" t="str">
        <f t="shared" si="14"/>
        <v>GY</v>
      </c>
      <c r="DQ8" s="8" t="str">
        <f t="shared" si="15"/>
        <v>RD</v>
      </c>
      <c r="DR8" s="8" t="str">
        <f t="shared" si="16"/>
        <v/>
      </c>
      <c r="DS8" s="8" t="str">
        <f t="shared" si="17"/>
        <v>GN</v>
      </c>
      <c r="DT8" s="8" t="str">
        <f t="shared" si="18"/>
        <v>GD</v>
      </c>
      <c r="DU8" s="8" t="str">
        <f t="shared" si="27"/>
        <v>GY</v>
      </c>
      <c r="DV8" s="8" t="str">
        <f t="shared" si="20"/>
        <v>RD</v>
      </c>
      <c r="DW8" s="8" t="str">
        <f t="shared" si="21"/>
        <v>GN</v>
      </c>
      <c r="DX8" s="8" t="str">
        <f t="shared" si="22"/>
        <v/>
      </c>
      <c r="DY8" s="8" t="str">
        <f t="shared" si="29"/>
        <v>GD</v>
      </c>
    </row>
  </sheetData>
  <dataValidations disablePrompts="1" count="6">
    <dataValidation showInputMessage="1" showErrorMessage="1" errorTitle="SOLIDWORKS Error:" error="The value you have entered is invalid.  Please enter a valid value before continuing." promptTitle="D4@Sketch2" prompt="Enter a valid value for this parameter." sqref="CL3:CL8"/>
    <dataValidation type="list" allowBlank="1" showInputMessage="1" promptTitle="$PARTNUMBER" prompt="Enter the part number." sqref="R3:R8">
      <formula1>"$DOCUMENT,$CONFIGURATION,$PARENT,$D,$C,$P"</formula1>
    </dataValidation>
    <dataValidation type="list" allowBlank="1" showInputMessage="1" showErrorMessage="1" errorTitle="SOLIDWORKS Error:" error="The value you have entered is invalid.  Please enter a valid value before continuing." promptTitle="$STATE@Directional1" prompt="Select to suppress or unsuppress the feature_x000a_Possible Options:_x000a_Suppressed_x000a_Unsuppressed_x000a_S = Suppressed_x000a_U = Unsuppressed_x000a_1 = Suppressed_x000a_0 = Unsuppressed" sqref="CA3:CA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Directional2" prompt="Select to suppress or unsuppress the feature_x000a_Possible Options:_x000a_Suppressed_x000a_Unsuppressed_x000a_S = Suppressed_x000a_U = Unsuppressed_x000a_1 = Suppressed_x000a_0 = Unsuppressed" sqref="CB3:CB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Directional3" prompt="Select to suppress or unsuppress the feature_x000a_Possible Options:_x000a_Suppressed_x000a_Unsuppressed_x000a_S = Suppressed_x000a_U = Unsuppressed_x000a_1 = Suppressed_x000a_0 = Unsuppressed" sqref="CC3:CC8">
      <formula1>"SUPPRESSED,UNSUPPRESSED,S,U,1,0"</formula1>
    </dataValidation>
    <dataValidation type="list" allowBlank="1" showInputMessage="1" promptTitle="$DISPLAYSTATE" prompt="Select the display state name" sqref="D3:D8">
      <formula1>"Metal,Carbon,"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5"/>
  <sheetViews>
    <sheetView workbookViewId="0">
      <selection activeCell="I12" sqref="I12"/>
    </sheetView>
  </sheetViews>
  <sheetFormatPr defaultRowHeight="15"/>
  <cols>
    <col min="1" max="1" width="8.140625" customWidth="1"/>
    <col min="3" max="3" width="7.28515625" customWidth="1"/>
    <col min="4" max="4" width="6.140625" bestFit="1" customWidth="1"/>
    <col min="5" max="5" width="5" bestFit="1" customWidth="1"/>
    <col min="6" max="6" width="10.140625" customWidth="1"/>
    <col min="7" max="7" width="5" bestFit="1" customWidth="1"/>
    <col min="8" max="8" width="7.5703125" customWidth="1"/>
    <col min="9" max="9" width="4" bestFit="1" customWidth="1"/>
    <col min="10" max="10" width="5" bestFit="1" customWidth="1"/>
    <col min="11" max="11" width="4" bestFit="1" customWidth="1"/>
    <col min="12" max="12" width="6" bestFit="1" customWidth="1"/>
    <col min="13" max="13" width="6" customWidth="1"/>
    <col min="14" max="14" width="5" bestFit="1" customWidth="1"/>
    <col min="15" max="16" width="6" customWidth="1"/>
  </cols>
  <sheetData>
    <row r="1" spans="1:23" ht="122.25">
      <c r="A1" t="s">
        <v>124</v>
      </c>
      <c r="B1" t="s">
        <v>84</v>
      </c>
      <c r="C1" s="4" t="s">
        <v>85</v>
      </c>
      <c r="D1" s="4" t="s">
        <v>93</v>
      </c>
      <c r="E1" s="4" t="s">
        <v>86</v>
      </c>
      <c r="F1" s="4" t="s">
        <v>87</v>
      </c>
      <c r="G1" s="4" t="s">
        <v>88</v>
      </c>
      <c r="H1" s="4" t="s">
        <v>89</v>
      </c>
      <c r="I1" s="4" t="s">
        <v>90</v>
      </c>
      <c r="J1" s="4" t="s">
        <v>91</v>
      </c>
      <c r="K1" s="4" t="s">
        <v>94</v>
      </c>
      <c r="L1" s="4" t="s">
        <v>92</v>
      </c>
      <c r="M1" s="4" t="s">
        <v>129</v>
      </c>
      <c r="N1" s="4" t="s">
        <v>128</v>
      </c>
      <c r="O1" s="4" t="s">
        <v>132</v>
      </c>
      <c r="P1" s="4"/>
      <c r="Q1" s="4" t="s">
        <v>114</v>
      </c>
      <c r="U1" t="s">
        <v>121</v>
      </c>
      <c r="V1" s="4" t="s">
        <v>122</v>
      </c>
      <c r="W1" s="4" t="s">
        <v>123</v>
      </c>
    </row>
    <row r="2" spans="1:23">
      <c r="A2" s="15">
        <v>200</v>
      </c>
      <c r="B2">
        <v>1</v>
      </c>
      <c r="C2">
        <v>3.5</v>
      </c>
      <c r="D2">
        <v>1.85</v>
      </c>
      <c r="E2">
        <f>ROUND(85%*$D2,2)</f>
        <v>1.57</v>
      </c>
      <c r="F2">
        <v>0.5</v>
      </c>
      <c r="G2">
        <f>ROUND($G$4/$C$4*C2,2)</f>
        <v>1.39</v>
      </c>
      <c r="H2">
        <f>ROUND($H$4/$G$4*G2,2)</f>
        <v>0.21</v>
      </c>
      <c r="I2">
        <v>0.6</v>
      </c>
      <c r="J2">
        <v>0.45</v>
      </c>
      <c r="K2">
        <v>200</v>
      </c>
      <c r="L2">
        <f>$K2*25.4/1000</f>
        <v>5.08</v>
      </c>
      <c r="M2">
        <f>($C2-$G2-($D2-$E2)/$F2/2)/2</f>
        <v>0.91500000000000015</v>
      </c>
      <c r="N2">
        <v>0.04</v>
      </c>
      <c r="O2">
        <f>($D2-$J2)/4-$N2/2</f>
        <v>0.33</v>
      </c>
      <c r="Q2" s="12">
        <v>0.25</v>
      </c>
      <c r="U2">
        <v>4</v>
      </c>
      <c r="V2" s="17">
        <v>0.13500000000000001</v>
      </c>
      <c r="W2" s="17">
        <v>7.0000000000000007E-2</v>
      </c>
    </row>
    <row r="3" spans="1:23">
      <c r="A3" s="15">
        <v>300</v>
      </c>
      <c r="B3">
        <v>2</v>
      </c>
      <c r="C3">
        <v>3.5</v>
      </c>
      <c r="D3">
        <v>1.85</v>
      </c>
      <c r="E3">
        <f>ROUND(85%*$D3,2)</f>
        <v>1.57</v>
      </c>
      <c r="F3">
        <v>0.5</v>
      </c>
      <c r="G3">
        <f>ROUND($G$4/$C$4*C3,2)</f>
        <v>1.39</v>
      </c>
      <c r="H3">
        <f>ROUND($H$4/$G$4*G3,2)</f>
        <v>0.21</v>
      </c>
      <c r="I3">
        <v>0.6</v>
      </c>
      <c r="J3">
        <v>0.45</v>
      </c>
      <c r="K3">
        <v>300</v>
      </c>
      <c r="L3">
        <f>$K3*25.4/1000</f>
        <v>7.62</v>
      </c>
      <c r="M3">
        <f t="shared" ref="M3:M7" si="0">($C3-$G3-($D3-$E3)/$F3/2)/2</f>
        <v>0.91500000000000015</v>
      </c>
      <c r="N3">
        <v>0.04</v>
      </c>
      <c r="O3">
        <f t="shared" ref="O3:O7" si="1">($D3-$J3)/4-$N3/2</f>
        <v>0.33</v>
      </c>
      <c r="Q3" s="12">
        <v>0.25</v>
      </c>
      <c r="U3">
        <v>5</v>
      </c>
      <c r="V3" s="17">
        <v>0.22</v>
      </c>
      <c r="W3" s="17">
        <v>0.27500000000000002</v>
      </c>
    </row>
    <row r="4" spans="1:23">
      <c r="A4" s="15">
        <v>400</v>
      </c>
      <c r="B4">
        <v>3</v>
      </c>
      <c r="C4">
        <v>6.8</v>
      </c>
      <c r="D4">
        <v>2.5</v>
      </c>
      <c r="E4">
        <f>ROUND(85%*$D4,2)</f>
        <v>2.13</v>
      </c>
      <c r="F4">
        <v>0.5</v>
      </c>
      <c r="G4">
        <v>2.7</v>
      </c>
      <c r="H4">
        <v>0.4</v>
      </c>
      <c r="I4">
        <v>0.8</v>
      </c>
      <c r="J4">
        <v>0.54</v>
      </c>
      <c r="K4">
        <v>400</v>
      </c>
      <c r="L4">
        <f t="shared" ref="L4:L7" si="2">$K4*25.4/1000</f>
        <v>10.16</v>
      </c>
      <c r="M4">
        <f t="shared" si="0"/>
        <v>1.8649999999999998</v>
      </c>
      <c r="N4">
        <v>0.04</v>
      </c>
      <c r="O4">
        <f t="shared" si="1"/>
        <v>0.47</v>
      </c>
      <c r="Q4" s="12">
        <v>0.33</v>
      </c>
    </row>
    <row r="5" spans="1:23">
      <c r="A5" s="15">
        <v>500</v>
      </c>
      <c r="B5">
        <v>4</v>
      </c>
      <c r="C5">
        <v>9</v>
      </c>
      <c r="D5">
        <v>3</v>
      </c>
      <c r="E5">
        <f>ROUND(90%*$D5,2)</f>
        <v>2.7</v>
      </c>
      <c r="F5">
        <v>0.22</v>
      </c>
      <c r="G5">
        <f>ROUND(0.63*C5,2)</f>
        <v>5.67</v>
      </c>
      <c r="H5">
        <v>0.5</v>
      </c>
      <c r="I5">
        <v>1</v>
      </c>
      <c r="J5">
        <v>0.54</v>
      </c>
      <c r="K5">
        <v>500</v>
      </c>
      <c r="L5">
        <f t="shared" si="2"/>
        <v>12.7</v>
      </c>
      <c r="M5">
        <f t="shared" si="0"/>
        <v>1.3240909090909092</v>
      </c>
      <c r="N5">
        <v>0.04</v>
      </c>
      <c r="O5">
        <f t="shared" si="1"/>
        <v>0.59499999999999997</v>
      </c>
      <c r="Q5" s="12">
        <v>0.5</v>
      </c>
    </row>
    <row r="6" spans="1:23">
      <c r="A6" s="15">
        <v>600</v>
      </c>
      <c r="B6">
        <v>5</v>
      </c>
      <c r="C6">
        <v>12</v>
      </c>
      <c r="D6">
        <v>5</v>
      </c>
      <c r="E6">
        <f>ROUND(90%*$D6,2)</f>
        <v>4.5</v>
      </c>
      <c r="F6">
        <v>0.22</v>
      </c>
      <c r="G6">
        <f>ROUND(0.63*C6,2)</f>
        <v>7.56</v>
      </c>
      <c r="H6">
        <v>0.7</v>
      </c>
      <c r="I6">
        <v>1</v>
      </c>
      <c r="J6">
        <v>0.7</v>
      </c>
      <c r="K6">
        <v>600</v>
      </c>
      <c r="L6">
        <f t="shared" si="2"/>
        <v>15.24</v>
      </c>
      <c r="M6">
        <f t="shared" si="0"/>
        <v>1.6518181818181819</v>
      </c>
      <c r="N6">
        <v>0.04</v>
      </c>
      <c r="O6">
        <f t="shared" si="1"/>
        <v>1.0549999999999999</v>
      </c>
      <c r="Q6" s="12">
        <v>1</v>
      </c>
    </row>
    <row r="7" spans="1:23">
      <c r="A7" s="15">
        <v>800</v>
      </c>
      <c r="B7">
        <v>6</v>
      </c>
      <c r="C7">
        <v>16</v>
      </c>
      <c r="D7">
        <v>5.5</v>
      </c>
      <c r="E7">
        <f>ROUND(90%*$D7,2)</f>
        <v>4.95</v>
      </c>
      <c r="F7">
        <v>0.22</v>
      </c>
      <c r="G7">
        <f>ROUND(0.63*C7,2)</f>
        <v>10.08</v>
      </c>
      <c r="H7">
        <v>0.7</v>
      </c>
      <c r="I7">
        <v>1</v>
      </c>
      <c r="J7">
        <v>0.7</v>
      </c>
      <c r="K7">
        <v>800</v>
      </c>
      <c r="L7">
        <f t="shared" si="2"/>
        <v>20.32</v>
      </c>
      <c r="M7">
        <f t="shared" si="0"/>
        <v>2.335</v>
      </c>
      <c r="N7">
        <v>0.04</v>
      </c>
      <c r="O7">
        <f t="shared" si="1"/>
        <v>1.18</v>
      </c>
      <c r="Q7" s="12">
        <v>2</v>
      </c>
    </row>
    <row r="8" spans="1:23" ht="12" customHeight="1">
      <c r="A8" s="15"/>
      <c r="G8" s="16"/>
    </row>
    <row r="9" spans="1:23">
      <c r="A9" s="15"/>
      <c r="G9" s="16"/>
    </row>
    <row r="10" spans="1:23">
      <c r="A10" s="15"/>
      <c r="G10" s="16"/>
    </row>
    <row r="11" spans="1:23">
      <c r="A11" s="15"/>
      <c r="G11" s="16"/>
      <c r="O11" s="20" t="s">
        <v>126</v>
      </c>
    </row>
    <row r="12" spans="1:23">
      <c r="A12" s="15"/>
      <c r="G12" s="16"/>
      <c r="I12" s="20" t="s">
        <v>127</v>
      </c>
    </row>
    <row r="13" spans="1:23">
      <c r="A13" s="15"/>
      <c r="G13" s="16"/>
      <c r="L13" s="21"/>
    </row>
    <row r="14" spans="1:23">
      <c r="A14" s="15"/>
      <c r="G14" s="16"/>
    </row>
    <row r="15" spans="1:23">
      <c r="A15" s="15"/>
      <c r="G15" s="16"/>
    </row>
  </sheetData>
  <dataValidations count="1">
    <dataValidation showInputMessage="1" showErrorMessage="1" errorTitle="SOLIDWORKS Error:" error="The value you have entered is invalid.  Please enter a valid value before continuing." promptTitle="D4@Sketch2" prompt="Enter a valid value for this parameter." sqref="O11 I12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Family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2016-03-19T10:53:07Z</dcterms:created>
  <dcterms:modified xsi:type="dcterms:W3CDTF">2016-03-21T09:15:11Z</dcterms:modified>
</cp:coreProperties>
</file>