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7260" windowWidth="28860" windowHeight="7320" activeTab="4"/>
  </bookViews>
  <sheets>
    <sheet name="Capacitors" sheetId="7" r:id="rId1"/>
    <sheet name="Packages" sheetId="2" r:id="rId2"/>
    <sheet name="Lead Tables" sheetId="9" r:id="rId3"/>
    <sheet name="Appearances Table" sheetId="10" r:id="rId4"/>
    <sheet name="TextFormats" sheetId="11" r:id="rId5"/>
    <sheet name="swAppearances" sheetId="8" r:id="rId6"/>
    <sheet name="Validate" sheetId="12" r:id="rId7"/>
  </sheets>
  <definedNames>
    <definedName name="_xlnm._FilterDatabase" localSheetId="0" hidden="1">Capacitors!$A$1:$U$969</definedName>
    <definedName name="_xlnm._FilterDatabase" localSheetId="1" hidden="1">Packages!$A$1:$AK$64</definedName>
    <definedName name="HitanoLeadTable">'Lead Tables'!$A$2:$K$4</definedName>
    <definedName name="HitanoLeadTableHeaders">'Lead Tables'!$A$2:$K$2</definedName>
    <definedName name="JamiconLeadTable">'Lead Tables'!$A$8:$K$11</definedName>
    <definedName name="JamiconLeadTableHeaders">'Lead Tables'!$A$8:$K$8</definedName>
    <definedName name="PackageHeaders">Packages!$A$1:$AW$1</definedName>
    <definedName name="PackageValues">Packages!$A$2:$AW$61</definedName>
    <definedName name="rptMinNumberOfTimes">Validate!$A$15</definedName>
    <definedName name="rptMinNumberOfTimesOfLineNo">Validate!$A$16</definedName>
    <definedName name="rptMinOverExtent">Validate!$A$13</definedName>
    <definedName name="rptMinOverExtentThenFit">Validate!$A$14</definedName>
    <definedName name="rptMinUntilExtent">Validate!$A$11</definedName>
    <definedName name="rptMinUntilExtentThenFit">Validate!$A$12</definedName>
    <definedName name="rptNone">Validate!$A$2</definedName>
    <definedName name="rptNumberIsMinimum">Validate!$A$10</definedName>
    <definedName name="rptNumberOfTimes">Validate!$A$7</definedName>
    <definedName name="rptNumberOfTimesOfLineNo">Validate!$A$8</definedName>
    <definedName name="rptOverExtent">Validate!$A$5</definedName>
    <definedName name="rptOverExtentThenFit">Validate!$A$6</definedName>
    <definedName name="rptTextMASK">Validate!$A$9</definedName>
    <definedName name="rptUntilExtent">Validate!$A$3</definedName>
    <definedName name="rptUntilExtentThenFit">Validate!$A$4</definedName>
    <definedName name="TextRepeatTypes">Validate!$B$2:$B$8</definedName>
  </definedNames>
  <calcPr calcId="125725"/>
</workbook>
</file>

<file path=xl/calcChain.xml><?xml version="1.0" encoding="utf-8"?>
<calcChain xmlns="http://schemas.openxmlformats.org/spreadsheetml/2006/main">
  <c r="AA56" i="2"/>
  <c r="AA57"/>
  <c r="AA58"/>
  <c r="AA59"/>
  <c r="AA60"/>
  <c r="AA61"/>
  <c r="AA62"/>
  <c r="AA63"/>
  <c r="AA64"/>
  <c r="AA3"/>
  <c r="AA4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AA44"/>
  <c r="AA45"/>
  <c r="AA46"/>
  <c r="AA47"/>
  <c r="AA48"/>
  <c r="AA49"/>
  <c r="AA50"/>
  <c r="AA51"/>
  <c r="AA52"/>
  <c r="AA53"/>
  <c r="AA54"/>
  <c r="AA55"/>
  <c r="AC55" s="1"/>
  <c r="Z3"/>
  <c r="Z4"/>
  <c r="Z5"/>
  <c r="Z6"/>
  <c r="Z7"/>
  <c r="Z8"/>
  <c r="Z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2"/>
  <c r="Z43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2"/>
  <c r="AC34"/>
  <c r="AC35"/>
  <c r="AC36"/>
  <c r="AC37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6"/>
  <c r="AC57"/>
  <c r="AC58"/>
  <c r="AC59"/>
  <c r="AC60"/>
  <c r="AC61"/>
  <c r="AC62"/>
  <c r="AC64"/>
  <c r="AC20"/>
  <c r="AC21"/>
  <c r="AC22"/>
  <c r="AC23"/>
  <c r="AC24"/>
  <c r="AC25"/>
  <c r="AC26"/>
  <c r="AC27"/>
  <c r="AC28"/>
  <c r="AC29"/>
  <c r="AC30"/>
  <c r="AC31"/>
  <c r="AC32"/>
  <c r="AC33"/>
  <c r="AC4"/>
  <c r="AC5"/>
  <c r="AC6"/>
  <c r="AC7"/>
  <c r="AC8"/>
  <c r="AC9"/>
  <c r="AC10"/>
  <c r="AC11"/>
  <c r="AC12"/>
  <c r="AC13"/>
  <c r="AC14"/>
  <c r="AC15"/>
  <c r="AC16"/>
  <c r="AC17"/>
  <c r="AC18"/>
  <c r="AC19"/>
  <c r="AC3"/>
  <c r="X3"/>
  <c r="X4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2"/>
  <c r="AE2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3"/>
  <c r="Q64"/>
  <c r="R64"/>
  <c r="S64"/>
  <c r="R63"/>
  <c r="S63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4"/>
  <c r="R5"/>
  <c r="R6"/>
  <c r="R7"/>
  <c r="R8"/>
  <c r="R9"/>
  <c r="R10"/>
  <c r="R11"/>
  <c r="R12"/>
  <c r="R13"/>
  <c r="R14"/>
  <c r="R3"/>
  <c r="R2"/>
  <c r="S2"/>
  <c r="Q63"/>
  <c r="Q2"/>
  <c r="A11" i="12"/>
  <c r="Q26" i="2" s="1"/>
  <c r="A13" i="12"/>
  <c r="A16"/>
  <c r="A15"/>
  <c r="A14"/>
  <c r="A12"/>
  <c r="AN11" i="2"/>
  <c r="AN3"/>
  <c r="AM11"/>
  <c r="AM12"/>
  <c r="AM13"/>
  <c r="AM14"/>
  <c r="AM15"/>
  <c r="AM16"/>
  <c r="AM17"/>
  <c r="AM18"/>
  <c r="AM10"/>
  <c r="AM9"/>
  <c r="AM8"/>
  <c r="AM7"/>
  <c r="AM6"/>
  <c r="AM5"/>
  <c r="AM4"/>
  <c r="AM3"/>
  <c r="I969" i="7"/>
  <c r="I968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I386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3"/>
  <c r="I735"/>
  <c r="I736"/>
  <c r="C7" i="11"/>
  <c r="C9"/>
  <c r="C8"/>
  <c r="C6"/>
  <c r="C5"/>
  <c r="C4"/>
  <c r="C3"/>
  <c r="C2"/>
  <c r="Q23" i="2" l="1"/>
  <c r="Q19"/>
  <c r="Q15"/>
  <c r="Q11"/>
  <c r="Q7"/>
  <c r="Q3"/>
  <c r="Q59"/>
  <c r="Q55"/>
  <c r="Q51"/>
  <c r="Q47"/>
  <c r="Q43"/>
  <c r="Q39"/>
  <c r="Q35"/>
  <c r="Q31"/>
  <c r="Q27"/>
  <c r="Q20"/>
  <c r="Q16"/>
  <c r="Q12"/>
  <c r="Q8"/>
  <c r="Q4"/>
  <c r="Q60"/>
  <c r="Q56"/>
  <c r="Q52"/>
  <c r="Q48"/>
  <c r="Q44"/>
  <c r="Q40"/>
  <c r="Q36"/>
  <c r="Q32"/>
  <c r="Q28"/>
  <c r="Q24"/>
  <c r="Q21"/>
  <c r="Q17"/>
  <c r="Q13"/>
  <c r="Q9"/>
  <c r="Q5"/>
  <c r="Q61"/>
  <c r="Q57"/>
  <c r="Q53"/>
  <c r="Q49"/>
  <c r="Q45"/>
  <c r="Q41"/>
  <c r="Q37"/>
  <c r="Q33"/>
  <c r="Q29"/>
  <c r="Q25"/>
  <c r="Q22"/>
  <c r="Q18"/>
  <c r="Q14"/>
  <c r="Q10"/>
  <c r="Q6"/>
  <c r="Q62"/>
  <c r="Q58"/>
  <c r="Q54"/>
  <c r="Q50"/>
  <c r="Q46"/>
  <c r="Q42"/>
  <c r="Q38"/>
  <c r="Q34"/>
  <c r="Q30"/>
  <c r="AC2"/>
  <c r="AB2"/>
  <c r="J3" i="10"/>
  <c r="K3"/>
  <c r="L3"/>
  <c r="M3"/>
  <c r="N3"/>
  <c r="J4"/>
  <c r="K4"/>
  <c r="L4"/>
  <c r="M4"/>
  <c r="N4"/>
  <c r="J5"/>
  <c r="K5"/>
  <c r="L5"/>
  <c r="M5"/>
  <c r="N5"/>
  <c r="J6"/>
  <c r="K6"/>
  <c r="L6"/>
  <c r="M6"/>
  <c r="N6"/>
  <c r="J7"/>
  <c r="K7"/>
  <c r="L7"/>
  <c r="M7"/>
  <c r="N7"/>
  <c r="J8"/>
  <c r="K8"/>
  <c r="L8"/>
  <c r="M8"/>
  <c r="N8"/>
  <c r="J9"/>
  <c r="K9"/>
  <c r="L9"/>
  <c r="M9"/>
  <c r="N9"/>
  <c r="J10"/>
  <c r="K10"/>
  <c r="L10"/>
  <c r="M10"/>
  <c r="N10"/>
  <c r="J11"/>
  <c r="K11"/>
  <c r="L11"/>
  <c r="M11"/>
  <c r="N11"/>
  <c r="J12"/>
  <c r="K12"/>
  <c r="L12"/>
  <c r="M12"/>
  <c r="N12"/>
  <c r="J13"/>
  <c r="K13"/>
  <c r="L13"/>
  <c r="M13"/>
  <c r="N13"/>
  <c r="J14"/>
  <c r="K14"/>
  <c r="L14"/>
  <c r="M14"/>
  <c r="N14"/>
  <c r="J15"/>
  <c r="K15"/>
  <c r="L15"/>
  <c r="M15"/>
  <c r="N15"/>
  <c r="J16"/>
  <c r="K16"/>
  <c r="L16"/>
  <c r="M16"/>
  <c r="N16"/>
  <c r="J17"/>
  <c r="K17"/>
  <c r="L17"/>
  <c r="M17"/>
  <c r="N17"/>
  <c r="J18"/>
  <c r="K18"/>
  <c r="L18"/>
  <c r="M18"/>
  <c r="N18"/>
  <c r="J19"/>
  <c r="K19"/>
  <c r="L19"/>
  <c r="M19"/>
  <c r="N19"/>
  <c r="J20"/>
  <c r="K20"/>
  <c r="L20"/>
  <c r="M20"/>
  <c r="N20"/>
  <c r="J21"/>
  <c r="K21"/>
  <c r="L21"/>
  <c r="M21"/>
  <c r="N21"/>
  <c r="L2"/>
  <c r="M2"/>
  <c r="N2"/>
  <c r="K2"/>
  <c r="J2"/>
  <c r="L3" i="7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731"/>
  <c r="I732"/>
  <c r="I733"/>
  <c r="I734"/>
  <c r="I737"/>
  <c r="I738"/>
  <c r="I739"/>
  <c r="I740"/>
  <c r="I741"/>
  <c r="I742"/>
  <c r="I743"/>
  <c r="I744"/>
  <c r="I745"/>
  <c r="I746"/>
  <c r="I747"/>
  <c r="I748"/>
  <c r="I749"/>
  <c r="I750"/>
  <c r="I751"/>
  <c r="I752"/>
  <c r="I753"/>
  <c r="I754"/>
  <c r="I755"/>
  <c r="I756"/>
  <c r="I757"/>
  <c r="I758"/>
  <c r="I759"/>
  <c r="I760"/>
  <c r="I761"/>
  <c r="I762"/>
  <c r="I763"/>
  <c r="I764"/>
  <c r="I765"/>
  <c r="I766"/>
  <c r="I767"/>
  <c r="I768"/>
  <c r="I769"/>
  <c r="I770"/>
  <c r="I771"/>
  <c r="I772"/>
  <c r="I773"/>
  <c r="I774"/>
  <c r="I775"/>
  <c r="I776"/>
  <c r="I777"/>
  <c r="I778"/>
  <c r="I779"/>
  <c r="I780"/>
  <c r="I781"/>
  <c r="I782"/>
  <c r="I783"/>
  <c r="I784"/>
  <c r="I785"/>
  <c r="I786"/>
  <c r="I787"/>
  <c r="I788"/>
  <c r="I789"/>
  <c r="I790"/>
  <c r="I791"/>
  <c r="I792"/>
  <c r="I793"/>
  <c r="I794"/>
  <c r="I795"/>
  <c r="I796"/>
  <c r="I797"/>
  <c r="I798"/>
  <c r="I799"/>
  <c r="I800"/>
  <c r="I801"/>
  <c r="I802"/>
  <c r="I803"/>
  <c r="I804"/>
  <c r="I805"/>
  <c r="I806"/>
  <c r="I807"/>
  <c r="I808"/>
  <c r="I809"/>
  <c r="I810"/>
  <c r="I811"/>
  <c r="I812"/>
  <c r="I813"/>
  <c r="I814"/>
  <c r="I815"/>
  <c r="I816"/>
  <c r="I817"/>
  <c r="I818"/>
  <c r="I819"/>
  <c r="I820"/>
  <c r="I821"/>
  <c r="I822"/>
  <c r="I823"/>
  <c r="I824"/>
  <c r="I825"/>
  <c r="I826"/>
  <c r="I827"/>
  <c r="I828"/>
  <c r="I829"/>
  <c r="I830"/>
  <c r="I831"/>
  <c r="I832"/>
  <c r="I833"/>
  <c r="I834"/>
  <c r="I835"/>
  <c r="I836"/>
  <c r="I837"/>
  <c r="I838"/>
  <c r="I839"/>
  <c r="I840"/>
  <c r="I841"/>
  <c r="I842"/>
  <c r="I843"/>
  <c r="I844"/>
  <c r="I845"/>
  <c r="I846"/>
  <c r="I847"/>
  <c r="I848"/>
  <c r="I849"/>
  <c r="I850"/>
  <c r="I851"/>
  <c r="I852"/>
  <c r="I853"/>
  <c r="I854"/>
  <c r="I855"/>
  <c r="I856"/>
  <c r="I857"/>
  <c r="I858"/>
  <c r="I859"/>
  <c r="I860"/>
  <c r="I861"/>
  <c r="I862"/>
  <c r="I863"/>
  <c r="I864"/>
  <c r="I865"/>
  <c r="I866"/>
  <c r="I867"/>
  <c r="I868"/>
  <c r="I869"/>
  <c r="I870"/>
  <c r="I871"/>
  <c r="I872"/>
  <c r="I873"/>
  <c r="I874"/>
  <c r="I875"/>
  <c r="I876"/>
  <c r="I877"/>
  <c r="I878"/>
  <c r="I879"/>
  <c r="I880"/>
  <c r="I881"/>
  <c r="I882"/>
  <c r="I883"/>
  <c r="I884"/>
  <c r="I885"/>
  <c r="I886"/>
  <c r="I887"/>
  <c r="I888"/>
  <c r="I889"/>
  <c r="I890"/>
  <c r="I891"/>
  <c r="I892"/>
  <c r="I893"/>
  <c r="I894"/>
  <c r="I895"/>
  <c r="I896"/>
  <c r="I897"/>
  <c r="I898"/>
  <c r="I899"/>
  <c r="I900"/>
  <c r="I901"/>
  <c r="I902"/>
  <c r="I903"/>
  <c r="I904"/>
  <c r="I905"/>
  <c r="I906"/>
  <c r="I907"/>
  <c r="I908"/>
  <c r="I909"/>
  <c r="I910"/>
  <c r="I911"/>
  <c r="I912"/>
  <c r="I913"/>
  <c r="I914"/>
  <c r="I915"/>
  <c r="I916"/>
  <c r="I917"/>
  <c r="I918"/>
  <c r="I919"/>
  <c r="I920"/>
  <c r="I921"/>
  <c r="I922"/>
  <c r="I923"/>
  <c r="I924"/>
  <c r="I925"/>
  <c r="I926"/>
  <c r="I927"/>
  <c r="I928"/>
  <c r="I929"/>
  <c r="I930"/>
  <c r="I931"/>
  <c r="I932"/>
  <c r="I933"/>
  <c r="I934"/>
  <c r="I935"/>
  <c r="I936"/>
  <c r="I937"/>
  <c r="I938"/>
  <c r="I939"/>
  <c r="I940"/>
  <c r="I941"/>
  <c r="I942"/>
  <c r="I943"/>
  <c r="I944"/>
  <c r="I945"/>
  <c r="I946"/>
  <c r="I947"/>
  <c r="I948"/>
  <c r="I949"/>
  <c r="I950"/>
  <c r="I951"/>
  <c r="I952"/>
  <c r="I953"/>
  <c r="I954"/>
  <c r="I955"/>
  <c r="I956"/>
  <c r="I957"/>
  <c r="I958"/>
  <c r="I959"/>
  <c r="I960"/>
  <c r="I961"/>
  <c r="I962"/>
  <c r="I963"/>
  <c r="I964"/>
  <c r="I965"/>
  <c r="I966"/>
  <c r="I667"/>
  <c r="J666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I64" i="2"/>
  <c r="J64"/>
  <c r="K64"/>
  <c r="AF64" s="1"/>
  <c r="AG64"/>
  <c r="AI64" s="1"/>
  <c r="L967" i="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66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199"/>
  <c r="J2"/>
  <c r="I2"/>
  <c r="M3"/>
  <c r="N3"/>
  <c r="O3"/>
  <c r="Q3"/>
  <c r="R3"/>
  <c r="M4"/>
  <c r="N4"/>
  <c r="O4"/>
  <c r="Q4"/>
  <c r="R4"/>
  <c r="M5"/>
  <c r="N5"/>
  <c r="O5"/>
  <c r="Q5"/>
  <c r="R5"/>
  <c r="M6"/>
  <c r="N6"/>
  <c r="O6"/>
  <c r="Q6"/>
  <c r="R6"/>
  <c r="M7"/>
  <c r="N7"/>
  <c r="O7"/>
  <c r="Q7"/>
  <c r="R7"/>
  <c r="M8"/>
  <c r="N8"/>
  <c r="O8"/>
  <c r="Q8"/>
  <c r="R8"/>
  <c r="M9"/>
  <c r="N9"/>
  <c r="O9"/>
  <c r="Q9"/>
  <c r="R9"/>
  <c r="M10"/>
  <c r="N10"/>
  <c r="O10"/>
  <c r="Q10"/>
  <c r="R10"/>
  <c r="M11"/>
  <c r="N11"/>
  <c r="O11"/>
  <c r="Q11"/>
  <c r="R11"/>
  <c r="M12"/>
  <c r="N12"/>
  <c r="O12"/>
  <c r="Q12"/>
  <c r="R12"/>
  <c r="M13"/>
  <c r="N13"/>
  <c r="O13"/>
  <c r="Q13"/>
  <c r="R13"/>
  <c r="M14"/>
  <c r="N14"/>
  <c r="O14"/>
  <c r="Q14"/>
  <c r="R14"/>
  <c r="M15"/>
  <c r="N15"/>
  <c r="O15"/>
  <c r="Q15"/>
  <c r="R15"/>
  <c r="M16"/>
  <c r="N16"/>
  <c r="O16"/>
  <c r="Q16"/>
  <c r="R16"/>
  <c r="M17"/>
  <c r="N17"/>
  <c r="O17"/>
  <c r="Q17"/>
  <c r="R17"/>
  <c r="M18"/>
  <c r="N18"/>
  <c r="O18"/>
  <c r="Q18"/>
  <c r="R18"/>
  <c r="M19"/>
  <c r="N19"/>
  <c r="O19"/>
  <c r="Q19"/>
  <c r="R19"/>
  <c r="M20"/>
  <c r="N20"/>
  <c r="O20"/>
  <c r="Q20"/>
  <c r="R20"/>
  <c r="M21"/>
  <c r="N21"/>
  <c r="O21"/>
  <c r="Q21"/>
  <c r="R21"/>
  <c r="M22"/>
  <c r="N22"/>
  <c r="O22"/>
  <c r="Q22"/>
  <c r="R22"/>
  <c r="M23"/>
  <c r="N23"/>
  <c r="O23"/>
  <c r="Q23"/>
  <c r="R23"/>
  <c r="M24"/>
  <c r="N24"/>
  <c r="O24"/>
  <c r="Q24"/>
  <c r="R24"/>
  <c r="M25"/>
  <c r="N25"/>
  <c r="O25"/>
  <c r="Q25"/>
  <c r="R25"/>
  <c r="M26"/>
  <c r="N26"/>
  <c r="O26"/>
  <c r="Q26"/>
  <c r="R26"/>
  <c r="M27"/>
  <c r="N27"/>
  <c r="O27"/>
  <c r="Q27"/>
  <c r="R27"/>
  <c r="M28"/>
  <c r="N28"/>
  <c r="O28"/>
  <c r="Q28"/>
  <c r="R28"/>
  <c r="M29"/>
  <c r="N29"/>
  <c r="O29"/>
  <c r="Q29"/>
  <c r="R29"/>
  <c r="M30"/>
  <c r="N30"/>
  <c r="O30"/>
  <c r="Q30"/>
  <c r="R30"/>
  <c r="M31"/>
  <c r="N31"/>
  <c r="O31"/>
  <c r="Q31"/>
  <c r="R31"/>
  <c r="M32"/>
  <c r="N32"/>
  <c r="O32"/>
  <c r="Q32"/>
  <c r="R32"/>
  <c r="M33"/>
  <c r="N33"/>
  <c r="O33"/>
  <c r="Q33"/>
  <c r="R33"/>
  <c r="M34"/>
  <c r="N34"/>
  <c r="O34"/>
  <c r="Q34"/>
  <c r="R34"/>
  <c r="M35"/>
  <c r="N35"/>
  <c r="O35"/>
  <c r="Q35"/>
  <c r="R35"/>
  <c r="M36"/>
  <c r="N36"/>
  <c r="O36"/>
  <c r="Q36"/>
  <c r="R36"/>
  <c r="M37"/>
  <c r="N37"/>
  <c r="O37"/>
  <c r="Q37"/>
  <c r="R37"/>
  <c r="M38"/>
  <c r="N38"/>
  <c r="O38"/>
  <c r="Q38"/>
  <c r="R38"/>
  <c r="M39"/>
  <c r="N39"/>
  <c r="O39"/>
  <c r="Q39"/>
  <c r="R39"/>
  <c r="M40"/>
  <c r="N40"/>
  <c r="O40"/>
  <c r="Q40"/>
  <c r="R40"/>
  <c r="M41"/>
  <c r="N41"/>
  <c r="O41"/>
  <c r="Q41"/>
  <c r="R41"/>
  <c r="M42"/>
  <c r="N42"/>
  <c r="O42"/>
  <c r="Q42"/>
  <c r="R42"/>
  <c r="M43"/>
  <c r="N43"/>
  <c r="O43"/>
  <c r="Q43"/>
  <c r="R43"/>
  <c r="M44"/>
  <c r="N44"/>
  <c r="O44"/>
  <c r="Q44"/>
  <c r="R44"/>
  <c r="M45"/>
  <c r="N45"/>
  <c r="O45"/>
  <c r="Q45"/>
  <c r="R45"/>
  <c r="M46"/>
  <c r="N46"/>
  <c r="O46"/>
  <c r="Q46"/>
  <c r="R46"/>
  <c r="M47"/>
  <c r="N47"/>
  <c r="O47"/>
  <c r="Q47"/>
  <c r="R47"/>
  <c r="M48"/>
  <c r="N48"/>
  <c r="O48"/>
  <c r="Q48"/>
  <c r="R48"/>
  <c r="M49"/>
  <c r="N49"/>
  <c r="O49"/>
  <c r="Q49"/>
  <c r="R49"/>
  <c r="M50"/>
  <c r="N50"/>
  <c r="O50"/>
  <c r="Q50"/>
  <c r="R50"/>
  <c r="M51"/>
  <c r="N51"/>
  <c r="O51"/>
  <c r="Q51"/>
  <c r="R51"/>
  <c r="M52"/>
  <c r="N52"/>
  <c r="O52"/>
  <c r="Q52"/>
  <c r="R52"/>
  <c r="M53"/>
  <c r="N53"/>
  <c r="O53"/>
  <c r="Q53"/>
  <c r="R53"/>
  <c r="M54"/>
  <c r="N54"/>
  <c r="O54"/>
  <c r="Q54"/>
  <c r="R54"/>
  <c r="M55"/>
  <c r="N55"/>
  <c r="O55"/>
  <c r="Q55"/>
  <c r="R55"/>
  <c r="M56"/>
  <c r="N56"/>
  <c r="O56"/>
  <c r="Q56"/>
  <c r="R56"/>
  <c r="M57"/>
  <c r="N57"/>
  <c r="O57"/>
  <c r="Q57"/>
  <c r="R57"/>
  <c r="M58"/>
  <c r="N58"/>
  <c r="O58"/>
  <c r="Q58"/>
  <c r="R58"/>
  <c r="M59"/>
  <c r="N59"/>
  <c r="O59"/>
  <c r="Q59"/>
  <c r="R59"/>
  <c r="M60"/>
  <c r="N60"/>
  <c r="O60"/>
  <c r="Q60"/>
  <c r="R60"/>
  <c r="M61"/>
  <c r="N61"/>
  <c r="O61"/>
  <c r="Q61"/>
  <c r="R61"/>
  <c r="M62"/>
  <c r="N62"/>
  <c r="O62"/>
  <c r="Q62"/>
  <c r="R62"/>
  <c r="M63"/>
  <c r="N63"/>
  <c r="O63"/>
  <c r="Q63"/>
  <c r="R63"/>
  <c r="M64"/>
  <c r="N64"/>
  <c r="O64"/>
  <c r="Q64"/>
  <c r="R64"/>
  <c r="M65"/>
  <c r="N65"/>
  <c r="O65"/>
  <c r="Q65"/>
  <c r="R65"/>
  <c r="M66"/>
  <c r="N66"/>
  <c r="O66"/>
  <c r="Q66"/>
  <c r="R66"/>
  <c r="M67"/>
  <c r="N67"/>
  <c r="O67"/>
  <c r="Q67"/>
  <c r="R67"/>
  <c r="M68"/>
  <c r="N68"/>
  <c r="O68"/>
  <c r="Q68"/>
  <c r="R68"/>
  <c r="M69"/>
  <c r="N69"/>
  <c r="O69"/>
  <c r="Q69"/>
  <c r="R69"/>
  <c r="M70"/>
  <c r="N70"/>
  <c r="O70"/>
  <c r="Q70"/>
  <c r="R70"/>
  <c r="M71"/>
  <c r="N71"/>
  <c r="O71"/>
  <c r="Q71"/>
  <c r="R71"/>
  <c r="M72"/>
  <c r="N72"/>
  <c r="O72"/>
  <c r="Q72"/>
  <c r="R72"/>
  <c r="M73"/>
  <c r="N73"/>
  <c r="O73"/>
  <c r="Q73"/>
  <c r="R73"/>
  <c r="M74"/>
  <c r="N74"/>
  <c r="O74"/>
  <c r="Q74"/>
  <c r="R74"/>
  <c r="M75"/>
  <c r="N75"/>
  <c r="O75"/>
  <c r="Q75"/>
  <c r="R75"/>
  <c r="M76"/>
  <c r="N76"/>
  <c r="O76"/>
  <c r="Q76"/>
  <c r="R76"/>
  <c r="M77"/>
  <c r="N77"/>
  <c r="O77"/>
  <c r="Q77"/>
  <c r="R77"/>
  <c r="M78"/>
  <c r="N78"/>
  <c r="O78"/>
  <c r="Q78"/>
  <c r="R78"/>
  <c r="M79"/>
  <c r="N79"/>
  <c r="O79"/>
  <c r="Q79"/>
  <c r="R79"/>
  <c r="M80"/>
  <c r="N80"/>
  <c r="O80"/>
  <c r="Q80"/>
  <c r="R80"/>
  <c r="M81"/>
  <c r="N81"/>
  <c r="O81"/>
  <c r="Q81"/>
  <c r="R81"/>
  <c r="M82"/>
  <c r="N82"/>
  <c r="O82"/>
  <c r="Q82"/>
  <c r="R82"/>
  <c r="M83"/>
  <c r="N83"/>
  <c r="O83"/>
  <c r="Q83"/>
  <c r="R83"/>
  <c r="M84"/>
  <c r="N84"/>
  <c r="O84"/>
  <c r="Q84"/>
  <c r="R84"/>
  <c r="M85"/>
  <c r="N85"/>
  <c r="O85"/>
  <c r="Q85"/>
  <c r="R85"/>
  <c r="M86"/>
  <c r="N86"/>
  <c r="O86"/>
  <c r="Q86"/>
  <c r="R86"/>
  <c r="M87"/>
  <c r="N87"/>
  <c r="O87"/>
  <c r="Q87"/>
  <c r="R87"/>
  <c r="M88"/>
  <c r="N88"/>
  <c r="O88"/>
  <c r="Q88"/>
  <c r="R88"/>
  <c r="M89"/>
  <c r="N89"/>
  <c r="O89"/>
  <c r="Q89"/>
  <c r="R89"/>
  <c r="M90"/>
  <c r="N90"/>
  <c r="O90"/>
  <c r="Q90"/>
  <c r="R90"/>
  <c r="M91"/>
  <c r="N91"/>
  <c r="O91"/>
  <c r="Q91"/>
  <c r="R91"/>
  <c r="M92"/>
  <c r="N92"/>
  <c r="O92"/>
  <c r="Q92"/>
  <c r="R92"/>
  <c r="M93"/>
  <c r="N93"/>
  <c r="O93"/>
  <c r="Q93"/>
  <c r="R93"/>
  <c r="M94"/>
  <c r="N94"/>
  <c r="O94"/>
  <c r="Q94"/>
  <c r="R94"/>
  <c r="M95"/>
  <c r="N95"/>
  <c r="O95"/>
  <c r="Q95"/>
  <c r="R95"/>
  <c r="M96"/>
  <c r="N96"/>
  <c r="O96"/>
  <c r="Q96"/>
  <c r="R96"/>
  <c r="M97"/>
  <c r="N97"/>
  <c r="O97"/>
  <c r="Q97"/>
  <c r="R97"/>
  <c r="M98"/>
  <c r="N98"/>
  <c r="O98"/>
  <c r="Q98"/>
  <c r="R98"/>
  <c r="M99"/>
  <c r="N99"/>
  <c r="O99"/>
  <c r="Q99"/>
  <c r="R99"/>
  <c r="M100"/>
  <c r="N100"/>
  <c r="O100"/>
  <c r="Q100"/>
  <c r="R100"/>
  <c r="M101"/>
  <c r="N101"/>
  <c r="O101"/>
  <c r="Q101"/>
  <c r="R101"/>
  <c r="M102"/>
  <c r="N102"/>
  <c r="O102"/>
  <c r="Q102"/>
  <c r="R102"/>
  <c r="M103"/>
  <c r="N103"/>
  <c r="O103"/>
  <c r="Q103"/>
  <c r="R103"/>
  <c r="M104"/>
  <c r="N104"/>
  <c r="O104"/>
  <c r="Q104"/>
  <c r="R104"/>
  <c r="M105"/>
  <c r="N105"/>
  <c r="O105"/>
  <c r="Q105"/>
  <c r="R105"/>
  <c r="M106"/>
  <c r="N106"/>
  <c r="O106"/>
  <c r="Q106"/>
  <c r="R106"/>
  <c r="M107"/>
  <c r="N107"/>
  <c r="O107"/>
  <c r="Q107"/>
  <c r="R107"/>
  <c r="M108"/>
  <c r="N108"/>
  <c r="O108"/>
  <c r="Q108"/>
  <c r="R108"/>
  <c r="M109"/>
  <c r="N109"/>
  <c r="O109"/>
  <c r="Q109"/>
  <c r="R109"/>
  <c r="M110"/>
  <c r="N110"/>
  <c r="O110"/>
  <c r="Q110"/>
  <c r="R110"/>
  <c r="M111"/>
  <c r="N111"/>
  <c r="O111"/>
  <c r="Q111"/>
  <c r="R111"/>
  <c r="M112"/>
  <c r="N112"/>
  <c r="O112"/>
  <c r="Q112"/>
  <c r="R112"/>
  <c r="M113"/>
  <c r="N113"/>
  <c r="O113"/>
  <c r="Q113"/>
  <c r="R113"/>
  <c r="M114"/>
  <c r="N114"/>
  <c r="O114"/>
  <c r="Q114"/>
  <c r="R114"/>
  <c r="M115"/>
  <c r="N115"/>
  <c r="O115"/>
  <c r="Q115"/>
  <c r="R115"/>
  <c r="M116"/>
  <c r="N116"/>
  <c r="O116"/>
  <c r="Q116"/>
  <c r="R116"/>
  <c r="M117"/>
  <c r="N117"/>
  <c r="O117"/>
  <c r="Q117"/>
  <c r="R117"/>
  <c r="M118"/>
  <c r="N118"/>
  <c r="O118"/>
  <c r="Q118"/>
  <c r="R118"/>
  <c r="M119"/>
  <c r="N119"/>
  <c r="O119"/>
  <c r="Q119"/>
  <c r="R119"/>
  <c r="M120"/>
  <c r="N120"/>
  <c r="O120"/>
  <c r="Q120"/>
  <c r="R120"/>
  <c r="M121"/>
  <c r="N121"/>
  <c r="O121"/>
  <c r="Q121"/>
  <c r="R121"/>
  <c r="M122"/>
  <c r="N122"/>
  <c r="O122"/>
  <c r="Q122"/>
  <c r="R122"/>
  <c r="M123"/>
  <c r="N123"/>
  <c r="O123"/>
  <c r="Q123"/>
  <c r="R123"/>
  <c r="M124"/>
  <c r="N124"/>
  <c r="O124"/>
  <c r="Q124"/>
  <c r="R124"/>
  <c r="M125"/>
  <c r="N125"/>
  <c r="O125"/>
  <c r="Q125"/>
  <c r="R125"/>
  <c r="M126"/>
  <c r="N126"/>
  <c r="O126"/>
  <c r="Q126"/>
  <c r="R126"/>
  <c r="M127"/>
  <c r="N127"/>
  <c r="O127"/>
  <c r="Q127"/>
  <c r="R127"/>
  <c r="M128"/>
  <c r="N128"/>
  <c r="O128"/>
  <c r="Q128"/>
  <c r="R128"/>
  <c r="M129"/>
  <c r="N129"/>
  <c r="O129"/>
  <c r="Q129"/>
  <c r="R129"/>
  <c r="M130"/>
  <c r="N130"/>
  <c r="O130"/>
  <c r="Q130"/>
  <c r="R130"/>
  <c r="M131"/>
  <c r="N131"/>
  <c r="O131"/>
  <c r="Q131"/>
  <c r="R131"/>
  <c r="M132"/>
  <c r="N132"/>
  <c r="O132"/>
  <c r="Q132"/>
  <c r="R132"/>
  <c r="M133"/>
  <c r="N133"/>
  <c r="O133"/>
  <c r="Q133"/>
  <c r="R133"/>
  <c r="M134"/>
  <c r="N134"/>
  <c r="O134"/>
  <c r="Q134"/>
  <c r="R134"/>
  <c r="M135"/>
  <c r="N135"/>
  <c r="O135"/>
  <c r="Q135"/>
  <c r="R135"/>
  <c r="M136"/>
  <c r="N136"/>
  <c r="O136"/>
  <c r="Q136"/>
  <c r="R136"/>
  <c r="M137"/>
  <c r="N137"/>
  <c r="O137"/>
  <c r="Q137"/>
  <c r="R137"/>
  <c r="M138"/>
  <c r="N138"/>
  <c r="O138"/>
  <c r="Q138"/>
  <c r="R138"/>
  <c r="M139"/>
  <c r="N139"/>
  <c r="O139"/>
  <c r="Q139"/>
  <c r="R139"/>
  <c r="M140"/>
  <c r="N140"/>
  <c r="O140"/>
  <c r="Q140"/>
  <c r="R140"/>
  <c r="M141"/>
  <c r="N141"/>
  <c r="O141"/>
  <c r="Q141"/>
  <c r="R141"/>
  <c r="M142"/>
  <c r="N142"/>
  <c r="O142"/>
  <c r="Q142"/>
  <c r="R142"/>
  <c r="M143"/>
  <c r="N143"/>
  <c r="O143"/>
  <c r="Q143"/>
  <c r="R143"/>
  <c r="M144"/>
  <c r="N144"/>
  <c r="O144"/>
  <c r="Q144"/>
  <c r="R144"/>
  <c r="M145"/>
  <c r="N145"/>
  <c r="O145"/>
  <c r="Q145"/>
  <c r="R145"/>
  <c r="M146"/>
  <c r="N146"/>
  <c r="O146"/>
  <c r="Q146"/>
  <c r="R146"/>
  <c r="M147"/>
  <c r="N147"/>
  <c r="O147"/>
  <c r="Q147"/>
  <c r="R147"/>
  <c r="M148"/>
  <c r="N148"/>
  <c r="O148"/>
  <c r="Q148"/>
  <c r="R148"/>
  <c r="M149"/>
  <c r="N149"/>
  <c r="O149"/>
  <c r="Q149"/>
  <c r="R149"/>
  <c r="M150"/>
  <c r="N150"/>
  <c r="O150"/>
  <c r="Q150"/>
  <c r="R150"/>
  <c r="M151"/>
  <c r="N151"/>
  <c r="O151"/>
  <c r="Q151"/>
  <c r="R151"/>
  <c r="M152"/>
  <c r="N152"/>
  <c r="O152"/>
  <c r="Q152"/>
  <c r="R152"/>
  <c r="M153"/>
  <c r="N153"/>
  <c r="O153"/>
  <c r="Q153"/>
  <c r="R153"/>
  <c r="M154"/>
  <c r="N154"/>
  <c r="O154"/>
  <c r="Q154"/>
  <c r="R154"/>
  <c r="M155"/>
  <c r="N155"/>
  <c r="O155"/>
  <c r="Q155"/>
  <c r="R155"/>
  <c r="M156"/>
  <c r="N156"/>
  <c r="O156"/>
  <c r="Q156"/>
  <c r="R156"/>
  <c r="M157"/>
  <c r="N157"/>
  <c r="O157"/>
  <c r="Q157"/>
  <c r="R157"/>
  <c r="M158"/>
  <c r="N158"/>
  <c r="O158"/>
  <c r="Q158"/>
  <c r="R158"/>
  <c r="M159"/>
  <c r="N159"/>
  <c r="O159"/>
  <c r="Q159"/>
  <c r="R159"/>
  <c r="M160"/>
  <c r="N160"/>
  <c r="O160"/>
  <c r="Q160"/>
  <c r="R160"/>
  <c r="M161"/>
  <c r="N161"/>
  <c r="O161"/>
  <c r="Q161"/>
  <c r="R161"/>
  <c r="M162"/>
  <c r="N162"/>
  <c r="O162"/>
  <c r="Q162"/>
  <c r="R162"/>
  <c r="M163"/>
  <c r="N163"/>
  <c r="O163"/>
  <c r="Q163"/>
  <c r="R163"/>
  <c r="M164"/>
  <c r="N164"/>
  <c r="O164"/>
  <c r="Q164"/>
  <c r="R164"/>
  <c r="M165"/>
  <c r="N165"/>
  <c r="O165"/>
  <c r="Q165"/>
  <c r="R165"/>
  <c r="M166"/>
  <c r="N166"/>
  <c r="O166"/>
  <c r="Q166"/>
  <c r="R166"/>
  <c r="M167"/>
  <c r="N167"/>
  <c r="O167"/>
  <c r="Q167"/>
  <c r="R167"/>
  <c r="M168"/>
  <c r="N168"/>
  <c r="O168"/>
  <c r="Q168"/>
  <c r="R168"/>
  <c r="M169"/>
  <c r="N169"/>
  <c r="O169"/>
  <c r="Q169"/>
  <c r="R169"/>
  <c r="M170"/>
  <c r="N170"/>
  <c r="O170"/>
  <c r="Q170"/>
  <c r="R170"/>
  <c r="M171"/>
  <c r="N171"/>
  <c r="O171"/>
  <c r="Q171"/>
  <c r="R171"/>
  <c r="M172"/>
  <c r="N172"/>
  <c r="O172"/>
  <c r="Q172"/>
  <c r="R172"/>
  <c r="M173"/>
  <c r="N173"/>
  <c r="O173"/>
  <c r="Q173"/>
  <c r="R173"/>
  <c r="M174"/>
  <c r="N174"/>
  <c r="O174"/>
  <c r="Q174"/>
  <c r="R174"/>
  <c r="M175"/>
  <c r="N175"/>
  <c r="O175"/>
  <c r="Q175"/>
  <c r="R175"/>
  <c r="M176"/>
  <c r="N176"/>
  <c r="O176"/>
  <c r="Q176"/>
  <c r="R176"/>
  <c r="M177"/>
  <c r="N177"/>
  <c r="O177"/>
  <c r="Q177"/>
  <c r="R177"/>
  <c r="M178"/>
  <c r="N178"/>
  <c r="O178"/>
  <c r="Q178"/>
  <c r="R178"/>
  <c r="M179"/>
  <c r="N179"/>
  <c r="O179"/>
  <c r="Q179"/>
  <c r="R179"/>
  <c r="M180"/>
  <c r="N180"/>
  <c r="O180"/>
  <c r="Q180"/>
  <c r="R180"/>
  <c r="M181"/>
  <c r="N181"/>
  <c r="O181"/>
  <c r="Q181"/>
  <c r="R181"/>
  <c r="M182"/>
  <c r="N182"/>
  <c r="O182"/>
  <c r="Q182"/>
  <c r="R182"/>
  <c r="M183"/>
  <c r="N183"/>
  <c r="O183"/>
  <c r="Q183"/>
  <c r="R183"/>
  <c r="M184"/>
  <c r="N184"/>
  <c r="O184"/>
  <c r="Q184"/>
  <c r="R184"/>
  <c r="M185"/>
  <c r="N185"/>
  <c r="O185"/>
  <c r="Q185"/>
  <c r="R185"/>
  <c r="M186"/>
  <c r="N186"/>
  <c r="O186"/>
  <c r="Q186"/>
  <c r="R186"/>
  <c r="M187"/>
  <c r="N187"/>
  <c r="O187"/>
  <c r="Q187"/>
  <c r="R187"/>
  <c r="M188"/>
  <c r="N188"/>
  <c r="O188"/>
  <c r="Q188"/>
  <c r="R188"/>
  <c r="M189"/>
  <c r="N189"/>
  <c r="O189"/>
  <c r="Q189"/>
  <c r="R189"/>
  <c r="M190"/>
  <c r="N190"/>
  <c r="O190"/>
  <c r="Q190"/>
  <c r="R190"/>
  <c r="M191"/>
  <c r="N191"/>
  <c r="O191"/>
  <c r="Q191"/>
  <c r="R191"/>
  <c r="M192"/>
  <c r="N192"/>
  <c r="O192"/>
  <c r="Q192"/>
  <c r="R192"/>
  <c r="M193"/>
  <c r="N193"/>
  <c r="O193"/>
  <c r="Q193"/>
  <c r="R193"/>
  <c r="M194"/>
  <c r="N194"/>
  <c r="O194"/>
  <c r="Q194"/>
  <c r="R194"/>
  <c r="M195"/>
  <c r="N195"/>
  <c r="O195"/>
  <c r="Q195"/>
  <c r="R195"/>
  <c r="M196"/>
  <c r="N196"/>
  <c r="O196"/>
  <c r="Q196"/>
  <c r="R196"/>
  <c r="M197"/>
  <c r="N197"/>
  <c r="O197"/>
  <c r="Q197"/>
  <c r="R197"/>
  <c r="M198"/>
  <c r="N198"/>
  <c r="O198"/>
  <c r="Q198"/>
  <c r="R198"/>
  <c r="M199"/>
  <c r="N199"/>
  <c r="O199"/>
  <c r="Q199"/>
  <c r="R199"/>
  <c r="K199" s="1"/>
  <c r="M200"/>
  <c r="N200"/>
  <c r="O200"/>
  <c r="Q200"/>
  <c r="R200"/>
  <c r="K200" s="1"/>
  <c r="M201"/>
  <c r="N201"/>
  <c r="O201"/>
  <c r="Q201"/>
  <c r="J201" s="1"/>
  <c r="R201"/>
  <c r="K201" s="1"/>
  <c r="M202"/>
  <c r="N202"/>
  <c r="O202"/>
  <c r="Q202"/>
  <c r="J202" s="1"/>
  <c r="R202"/>
  <c r="K202" s="1"/>
  <c r="M203"/>
  <c r="N203"/>
  <c r="O203"/>
  <c r="Q203"/>
  <c r="R203"/>
  <c r="K203" s="1"/>
  <c r="M204"/>
  <c r="N204"/>
  <c r="O204"/>
  <c r="Q204"/>
  <c r="R204"/>
  <c r="K204" s="1"/>
  <c r="M205"/>
  <c r="N205"/>
  <c r="O205"/>
  <c r="Q205"/>
  <c r="J205" s="1"/>
  <c r="R205"/>
  <c r="K205" s="1"/>
  <c r="M206"/>
  <c r="N206"/>
  <c r="O206"/>
  <c r="Q206"/>
  <c r="R206"/>
  <c r="K206" s="1"/>
  <c r="M207"/>
  <c r="N207"/>
  <c r="O207"/>
  <c r="Q207"/>
  <c r="J207" s="1"/>
  <c r="R207"/>
  <c r="K207" s="1"/>
  <c r="M208"/>
  <c r="N208"/>
  <c r="O208"/>
  <c r="Q208"/>
  <c r="J208" s="1"/>
  <c r="R208"/>
  <c r="K208" s="1"/>
  <c r="M209"/>
  <c r="N209"/>
  <c r="O209"/>
  <c r="Q209"/>
  <c r="R209"/>
  <c r="K209" s="1"/>
  <c r="M210"/>
  <c r="N210"/>
  <c r="O210"/>
  <c r="Q210"/>
  <c r="J210" s="1"/>
  <c r="R210"/>
  <c r="K210" s="1"/>
  <c r="M211"/>
  <c r="N211"/>
  <c r="O211"/>
  <c r="Q211"/>
  <c r="J211" s="1"/>
  <c r="R211"/>
  <c r="K211" s="1"/>
  <c r="M212"/>
  <c r="N212"/>
  <c r="O212"/>
  <c r="Q212"/>
  <c r="J212" s="1"/>
  <c r="R212"/>
  <c r="K212" s="1"/>
  <c r="M213"/>
  <c r="N213"/>
  <c r="O213"/>
  <c r="Q213"/>
  <c r="J213" s="1"/>
  <c r="R213"/>
  <c r="K213" s="1"/>
  <c r="M214"/>
  <c r="N214"/>
  <c r="O214"/>
  <c r="Q214"/>
  <c r="J214" s="1"/>
  <c r="R214"/>
  <c r="K214" s="1"/>
  <c r="M215"/>
  <c r="N215"/>
  <c r="O215"/>
  <c r="Q215"/>
  <c r="J215" s="1"/>
  <c r="R215"/>
  <c r="K215" s="1"/>
  <c r="M216"/>
  <c r="N216"/>
  <c r="O216"/>
  <c r="Q216"/>
  <c r="R216"/>
  <c r="K216" s="1"/>
  <c r="M217"/>
  <c r="N217"/>
  <c r="O217"/>
  <c r="Q217"/>
  <c r="J217" s="1"/>
  <c r="R217"/>
  <c r="K217" s="1"/>
  <c r="M218"/>
  <c r="N218"/>
  <c r="O218"/>
  <c r="Q218"/>
  <c r="J218" s="1"/>
  <c r="R218"/>
  <c r="K218" s="1"/>
  <c r="M219"/>
  <c r="N219"/>
  <c r="O219"/>
  <c r="Q219"/>
  <c r="J219" s="1"/>
  <c r="R219"/>
  <c r="K219" s="1"/>
  <c r="M220"/>
  <c r="N220"/>
  <c r="O220"/>
  <c r="Q220"/>
  <c r="R220"/>
  <c r="K220" s="1"/>
  <c r="M221"/>
  <c r="N221"/>
  <c r="O221"/>
  <c r="Q221"/>
  <c r="R221"/>
  <c r="K221" s="1"/>
  <c r="M222"/>
  <c r="N222"/>
  <c r="O222"/>
  <c r="Q222"/>
  <c r="J222" s="1"/>
  <c r="R222"/>
  <c r="K222" s="1"/>
  <c r="M223"/>
  <c r="N223"/>
  <c r="O223"/>
  <c r="Q223"/>
  <c r="R223"/>
  <c r="K223" s="1"/>
  <c r="M224"/>
  <c r="N224"/>
  <c r="O224"/>
  <c r="Q224"/>
  <c r="J224" s="1"/>
  <c r="R224"/>
  <c r="K224" s="1"/>
  <c r="M225"/>
  <c r="N225"/>
  <c r="O225"/>
  <c r="Q225"/>
  <c r="J225" s="1"/>
  <c r="R225"/>
  <c r="K225" s="1"/>
  <c r="M226"/>
  <c r="N226"/>
  <c r="O226"/>
  <c r="Q226"/>
  <c r="R226"/>
  <c r="K226" s="1"/>
  <c r="M227"/>
  <c r="N227"/>
  <c r="O227"/>
  <c r="Q227"/>
  <c r="J227" s="1"/>
  <c r="R227"/>
  <c r="K227" s="1"/>
  <c r="M228"/>
  <c r="N228"/>
  <c r="O228"/>
  <c r="Q228"/>
  <c r="J228" s="1"/>
  <c r="R228"/>
  <c r="K228" s="1"/>
  <c r="M229"/>
  <c r="N229"/>
  <c r="O229"/>
  <c r="Q229"/>
  <c r="J229" s="1"/>
  <c r="R229"/>
  <c r="K229" s="1"/>
  <c r="M230"/>
  <c r="N230"/>
  <c r="O230"/>
  <c r="Q230"/>
  <c r="R230"/>
  <c r="K230" s="1"/>
  <c r="M231"/>
  <c r="N231"/>
  <c r="O231"/>
  <c r="Q231"/>
  <c r="R231"/>
  <c r="K231" s="1"/>
  <c r="M232"/>
  <c r="N232"/>
  <c r="O232"/>
  <c r="Q232"/>
  <c r="J232" s="1"/>
  <c r="R232"/>
  <c r="K232" s="1"/>
  <c r="M233"/>
  <c r="N233"/>
  <c r="O233"/>
  <c r="Q233"/>
  <c r="R233"/>
  <c r="K233" s="1"/>
  <c r="M234"/>
  <c r="N234"/>
  <c r="O234"/>
  <c r="Q234"/>
  <c r="J234" s="1"/>
  <c r="R234"/>
  <c r="K234" s="1"/>
  <c r="M235"/>
  <c r="N235"/>
  <c r="O235"/>
  <c r="Q235"/>
  <c r="J235" s="1"/>
  <c r="R235"/>
  <c r="K235" s="1"/>
  <c r="M236"/>
  <c r="N236"/>
  <c r="O236"/>
  <c r="Q236"/>
  <c r="J236" s="1"/>
  <c r="R236"/>
  <c r="K236" s="1"/>
  <c r="M237"/>
  <c r="N237"/>
  <c r="O237"/>
  <c r="Q237"/>
  <c r="J237" s="1"/>
  <c r="R237"/>
  <c r="K237" s="1"/>
  <c r="M238"/>
  <c r="N238"/>
  <c r="O238"/>
  <c r="Q238"/>
  <c r="J238" s="1"/>
  <c r="R238"/>
  <c r="K238" s="1"/>
  <c r="M239"/>
  <c r="N239"/>
  <c r="O239"/>
  <c r="Q239"/>
  <c r="J239" s="1"/>
  <c r="R239"/>
  <c r="K239" s="1"/>
  <c r="M240"/>
  <c r="N240"/>
  <c r="O240"/>
  <c r="Q240"/>
  <c r="R240"/>
  <c r="K240" s="1"/>
  <c r="M241"/>
  <c r="N241"/>
  <c r="O241"/>
  <c r="Q241"/>
  <c r="J241" s="1"/>
  <c r="R241"/>
  <c r="K241" s="1"/>
  <c r="M242"/>
  <c r="N242"/>
  <c r="O242"/>
  <c r="Q242"/>
  <c r="J242" s="1"/>
  <c r="R242"/>
  <c r="K242" s="1"/>
  <c r="M243"/>
  <c r="N243"/>
  <c r="O243"/>
  <c r="Q243"/>
  <c r="J243" s="1"/>
  <c r="R243"/>
  <c r="K243" s="1"/>
  <c r="M244"/>
  <c r="N244"/>
  <c r="O244"/>
  <c r="Q244"/>
  <c r="J244" s="1"/>
  <c r="R244"/>
  <c r="K244" s="1"/>
  <c r="M245"/>
  <c r="N245"/>
  <c r="O245"/>
  <c r="Q245"/>
  <c r="J245" s="1"/>
  <c r="R245"/>
  <c r="K245" s="1"/>
  <c r="M246"/>
  <c r="N246"/>
  <c r="O246"/>
  <c r="Q246"/>
  <c r="R246"/>
  <c r="K246" s="1"/>
  <c r="M247"/>
  <c r="N247"/>
  <c r="O247"/>
  <c r="Q247"/>
  <c r="R247"/>
  <c r="K247" s="1"/>
  <c r="M248"/>
  <c r="N248"/>
  <c r="O248"/>
  <c r="Q248"/>
  <c r="J248" s="1"/>
  <c r="R248"/>
  <c r="K248" s="1"/>
  <c r="M249"/>
  <c r="N249"/>
  <c r="O249"/>
  <c r="Q249"/>
  <c r="R249"/>
  <c r="K249" s="1"/>
  <c r="M250"/>
  <c r="N250"/>
  <c r="O250"/>
  <c r="Q250"/>
  <c r="J250" s="1"/>
  <c r="R250"/>
  <c r="K250" s="1"/>
  <c r="M251"/>
  <c r="N251"/>
  <c r="O251"/>
  <c r="Q251"/>
  <c r="J251" s="1"/>
  <c r="R251"/>
  <c r="K251" s="1"/>
  <c r="M252"/>
  <c r="N252"/>
  <c r="O252"/>
  <c r="Q252"/>
  <c r="J252" s="1"/>
  <c r="R252"/>
  <c r="K252" s="1"/>
  <c r="M253"/>
  <c r="N253"/>
  <c r="O253"/>
  <c r="Q253"/>
  <c r="J253" s="1"/>
  <c r="R253"/>
  <c r="K253" s="1"/>
  <c r="M254"/>
  <c r="N254"/>
  <c r="O254"/>
  <c r="Q254"/>
  <c r="R254"/>
  <c r="K254" s="1"/>
  <c r="M255"/>
  <c r="N255"/>
  <c r="O255"/>
  <c r="Q255"/>
  <c r="J255" s="1"/>
  <c r="R255"/>
  <c r="K255" s="1"/>
  <c r="M256"/>
  <c r="N256"/>
  <c r="O256"/>
  <c r="Q256"/>
  <c r="J256" s="1"/>
  <c r="R256"/>
  <c r="K256" s="1"/>
  <c r="M257"/>
  <c r="N257"/>
  <c r="O257"/>
  <c r="Q257"/>
  <c r="J257" s="1"/>
  <c r="R257"/>
  <c r="K257" s="1"/>
  <c r="M258"/>
  <c r="N258"/>
  <c r="O258"/>
  <c r="Q258"/>
  <c r="J258" s="1"/>
  <c r="R258"/>
  <c r="K258" s="1"/>
  <c r="M259"/>
  <c r="N259"/>
  <c r="O259"/>
  <c r="Q259"/>
  <c r="J259" s="1"/>
  <c r="R259"/>
  <c r="K259" s="1"/>
  <c r="M260"/>
  <c r="N260"/>
  <c r="O260"/>
  <c r="Q260"/>
  <c r="J260" s="1"/>
  <c r="R260"/>
  <c r="K260" s="1"/>
  <c r="M261"/>
  <c r="N261"/>
  <c r="O261"/>
  <c r="Q261"/>
  <c r="J261" s="1"/>
  <c r="R261"/>
  <c r="K261" s="1"/>
  <c r="M262"/>
  <c r="N262"/>
  <c r="O262"/>
  <c r="Q262"/>
  <c r="J262" s="1"/>
  <c r="R262"/>
  <c r="K262" s="1"/>
  <c r="M263"/>
  <c r="N263"/>
  <c r="O263"/>
  <c r="Q263"/>
  <c r="J263" s="1"/>
  <c r="R263"/>
  <c r="K263" s="1"/>
  <c r="M264"/>
  <c r="N264"/>
  <c r="O264"/>
  <c r="Q264"/>
  <c r="J264" s="1"/>
  <c r="R264"/>
  <c r="K264" s="1"/>
  <c r="M265"/>
  <c r="N265"/>
  <c r="O265"/>
  <c r="Q265"/>
  <c r="R265"/>
  <c r="K265" s="1"/>
  <c r="M266"/>
  <c r="N266"/>
  <c r="O266"/>
  <c r="Q266"/>
  <c r="R266"/>
  <c r="K266" s="1"/>
  <c r="M267"/>
  <c r="N267"/>
  <c r="O267"/>
  <c r="Q267"/>
  <c r="R267"/>
  <c r="K267" s="1"/>
  <c r="M268"/>
  <c r="N268"/>
  <c r="O268"/>
  <c r="Q268"/>
  <c r="R268"/>
  <c r="K268" s="1"/>
  <c r="M269"/>
  <c r="N269"/>
  <c r="O269"/>
  <c r="Q269"/>
  <c r="R269"/>
  <c r="K269" s="1"/>
  <c r="M270"/>
  <c r="N270"/>
  <c r="O270"/>
  <c r="Q270"/>
  <c r="J270" s="1"/>
  <c r="R270"/>
  <c r="K270" s="1"/>
  <c r="M271"/>
  <c r="N271"/>
  <c r="O271"/>
  <c r="Q271"/>
  <c r="R271"/>
  <c r="K271" s="1"/>
  <c r="M272"/>
  <c r="N272"/>
  <c r="O272"/>
  <c r="Q272"/>
  <c r="J272" s="1"/>
  <c r="R272"/>
  <c r="K272" s="1"/>
  <c r="M273"/>
  <c r="N273"/>
  <c r="O273"/>
  <c r="Q273"/>
  <c r="R273"/>
  <c r="K273" s="1"/>
  <c r="M274"/>
  <c r="N274"/>
  <c r="O274"/>
  <c r="Q274"/>
  <c r="J274" s="1"/>
  <c r="R274"/>
  <c r="K274" s="1"/>
  <c r="M275"/>
  <c r="N275"/>
  <c r="O275"/>
  <c r="Q275"/>
  <c r="R275"/>
  <c r="K275" s="1"/>
  <c r="M276"/>
  <c r="N276"/>
  <c r="O276"/>
  <c r="Q276"/>
  <c r="J276" s="1"/>
  <c r="R276"/>
  <c r="K276" s="1"/>
  <c r="M277"/>
  <c r="N277"/>
  <c r="O277"/>
  <c r="Q277"/>
  <c r="J277" s="1"/>
  <c r="R277"/>
  <c r="K277" s="1"/>
  <c r="M278"/>
  <c r="N278"/>
  <c r="O278"/>
  <c r="Q278"/>
  <c r="J278" s="1"/>
  <c r="R278"/>
  <c r="K278" s="1"/>
  <c r="M279"/>
  <c r="N279"/>
  <c r="O279"/>
  <c r="Q279"/>
  <c r="R279"/>
  <c r="K279" s="1"/>
  <c r="M280"/>
  <c r="N280"/>
  <c r="O280"/>
  <c r="Q280"/>
  <c r="J280" s="1"/>
  <c r="R280"/>
  <c r="K280" s="1"/>
  <c r="M281"/>
  <c r="N281"/>
  <c r="O281"/>
  <c r="Q281"/>
  <c r="J281" s="1"/>
  <c r="R281"/>
  <c r="K281" s="1"/>
  <c r="M282"/>
  <c r="N282"/>
  <c r="O282"/>
  <c r="Q282"/>
  <c r="J282" s="1"/>
  <c r="R282"/>
  <c r="K282" s="1"/>
  <c r="M283"/>
  <c r="N283"/>
  <c r="O283"/>
  <c r="Q283"/>
  <c r="R283"/>
  <c r="K283" s="1"/>
  <c r="M284"/>
  <c r="N284"/>
  <c r="O284"/>
  <c r="Q284"/>
  <c r="R284"/>
  <c r="K284" s="1"/>
  <c r="M285"/>
  <c r="N285"/>
  <c r="O285"/>
  <c r="Q285"/>
  <c r="R285"/>
  <c r="K285" s="1"/>
  <c r="M286"/>
  <c r="N286"/>
  <c r="O286"/>
  <c r="Q286"/>
  <c r="J286" s="1"/>
  <c r="R286"/>
  <c r="K286" s="1"/>
  <c r="M287"/>
  <c r="N287"/>
  <c r="O287"/>
  <c r="Q287"/>
  <c r="J287" s="1"/>
  <c r="R287"/>
  <c r="K287" s="1"/>
  <c r="M288"/>
  <c r="N288"/>
  <c r="O288"/>
  <c r="Q288"/>
  <c r="J288" s="1"/>
  <c r="R288"/>
  <c r="K288" s="1"/>
  <c r="M289"/>
  <c r="N289"/>
  <c r="O289"/>
  <c r="Q289"/>
  <c r="R289"/>
  <c r="K289" s="1"/>
  <c r="M290"/>
  <c r="N290"/>
  <c r="O290"/>
  <c r="Q290"/>
  <c r="J290" s="1"/>
  <c r="R290"/>
  <c r="K290" s="1"/>
  <c r="M291"/>
  <c r="N291"/>
  <c r="O291"/>
  <c r="Q291"/>
  <c r="J291" s="1"/>
  <c r="R291"/>
  <c r="K291" s="1"/>
  <c r="M292"/>
  <c r="N292"/>
  <c r="O292"/>
  <c r="Q292"/>
  <c r="J292" s="1"/>
  <c r="R292"/>
  <c r="K292" s="1"/>
  <c r="M293"/>
  <c r="N293"/>
  <c r="O293"/>
  <c r="Q293"/>
  <c r="J293" s="1"/>
  <c r="R293"/>
  <c r="K293" s="1"/>
  <c r="M294"/>
  <c r="N294"/>
  <c r="O294"/>
  <c r="Q294"/>
  <c r="J294" s="1"/>
  <c r="R294"/>
  <c r="K294" s="1"/>
  <c r="M295"/>
  <c r="N295"/>
  <c r="O295"/>
  <c r="Q295"/>
  <c r="J295" s="1"/>
  <c r="R295"/>
  <c r="K295" s="1"/>
  <c r="M296"/>
  <c r="N296"/>
  <c r="O296"/>
  <c r="Q296"/>
  <c r="J296" s="1"/>
  <c r="R296"/>
  <c r="K296" s="1"/>
  <c r="M297"/>
  <c r="N297"/>
  <c r="O297"/>
  <c r="Q297"/>
  <c r="R297"/>
  <c r="K297" s="1"/>
  <c r="M298"/>
  <c r="N298"/>
  <c r="O298"/>
  <c r="Q298"/>
  <c r="J298" s="1"/>
  <c r="R298"/>
  <c r="K298" s="1"/>
  <c r="M299"/>
  <c r="N299"/>
  <c r="O299"/>
  <c r="Q299"/>
  <c r="R299"/>
  <c r="K299" s="1"/>
  <c r="M300"/>
  <c r="N300"/>
  <c r="O300"/>
  <c r="Q300"/>
  <c r="J300" s="1"/>
  <c r="R300"/>
  <c r="K300" s="1"/>
  <c r="M301"/>
  <c r="N301"/>
  <c r="O301"/>
  <c r="Q301"/>
  <c r="J301" s="1"/>
  <c r="R301"/>
  <c r="K301" s="1"/>
  <c r="M302"/>
  <c r="N302"/>
  <c r="O302"/>
  <c r="Q302"/>
  <c r="J302" s="1"/>
  <c r="R302"/>
  <c r="K302" s="1"/>
  <c r="M303"/>
  <c r="N303"/>
  <c r="O303"/>
  <c r="Q303"/>
  <c r="J303" s="1"/>
  <c r="R303"/>
  <c r="K303" s="1"/>
  <c r="M304"/>
  <c r="N304"/>
  <c r="O304"/>
  <c r="Q304"/>
  <c r="J304" s="1"/>
  <c r="R304"/>
  <c r="K304" s="1"/>
  <c r="M305"/>
  <c r="N305"/>
  <c r="O305"/>
  <c r="Q305"/>
  <c r="R305"/>
  <c r="K305" s="1"/>
  <c r="M306"/>
  <c r="N306"/>
  <c r="O306"/>
  <c r="Q306"/>
  <c r="J306" s="1"/>
  <c r="R306"/>
  <c r="K306" s="1"/>
  <c r="M307"/>
  <c r="N307"/>
  <c r="O307"/>
  <c r="Q307"/>
  <c r="R307"/>
  <c r="K307" s="1"/>
  <c r="M308"/>
  <c r="N308"/>
  <c r="O308"/>
  <c r="Q308"/>
  <c r="J308" s="1"/>
  <c r="R308"/>
  <c r="K308" s="1"/>
  <c r="M309"/>
  <c r="N309"/>
  <c r="O309"/>
  <c r="Q309"/>
  <c r="J309" s="1"/>
  <c r="R309"/>
  <c r="K309" s="1"/>
  <c r="M310"/>
  <c r="N310"/>
  <c r="O310"/>
  <c r="Q310"/>
  <c r="J310" s="1"/>
  <c r="R310"/>
  <c r="K310" s="1"/>
  <c r="M311"/>
  <c r="N311"/>
  <c r="O311"/>
  <c r="Q311"/>
  <c r="J311" s="1"/>
  <c r="R311"/>
  <c r="K311" s="1"/>
  <c r="M312"/>
  <c r="N312"/>
  <c r="O312"/>
  <c r="Q312"/>
  <c r="J312" s="1"/>
  <c r="R312"/>
  <c r="K312" s="1"/>
  <c r="M313"/>
  <c r="N313"/>
  <c r="O313"/>
  <c r="Q313"/>
  <c r="R313"/>
  <c r="K313" s="1"/>
  <c r="M314"/>
  <c r="N314"/>
  <c r="O314"/>
  <c r="Q314"/>
  <c r="J314" s="1"/>
  <c r="R314"/>
  <c r="K314" s="1"/>
  <c r="M315"/>
  <c r="N315"/>
  <c r="O315"/>
  <c r="Q315"/>
  <c r="R315"/>
  <c r="K315" s="1"/>
  <c r="M316"/>
  <c r="N316"/>
  <c r="O316"/>
  <c r="Q316"/>
  <c r="J316" s="1"/>
  <c r="R316"/>
  <c r="K316" s="1"/>
  <c r="M317"/>
  <c r="N317"/>
  <c r="O317"/>
  <c r="Q317"/>
  <c r="J317" s="1"/>
  <c r="R317"/>
  <c r="K317" s="1"/>
  <c r="M318"/>
  <c r="N318"/>
  <c r="O318"/>
  <c r="Q318"/>
  <c r="J318" s="1"/>
  <c r="R318"/>
  <c r="K318" s="1"/>
  <c r="M319"/>
  <c r="N319"/>
  <c r="O319"/>
  <c r="Q319"/>
  <c r="J319" s="1"/>
  <c r="R319"/>
  <c r="K319" s="1"/>
  <c r="M320"/>
  <c r="N320"/>
  <c r="O320"/>
  <c r="Q320"/>
  <c r="J320" s="1"/>
  <c r="R320"/>
  <c r="K320" s="1"/>
  <c r="M321"/>
  <c r="N321"/>
  <c r="O321"/>
  <c r="Q321"/>
  <c r="R321"/>
  <c r="K321" s="1"/>
  <c r="M322"/>
  <c r="N322"/>
  <c r="O322"/>
  <c r="Q322"/>
  <c r="J322" s="1"/>
  <c r="R322"/>
  <c r="K322" s="1"/>
  <c r="M323"/>
  <c r="N323"/>
  <c r="O323"/>
  <c r="Q323"/>
  <c r="R323"/>
  <c r="K323" s="1"/>
  <c r="M324"/>
  <c r="N324"/>
  <c r="O324"/>
  <c r="Q324"/>
  <c r="J324" s="1"/>
  <c r="R324"/>
  <c r="K324" s="1"/>
  <c r="M325"/>
  <c r="N325"/>
  <c r="O325"/>
  <c r="Q325"/>
  <c r="J325" s="1"/>
  <c r="R325"/>
  <c r="K325" s="1"/>
  <c r="M326"/>
  <c r="N326"/>
  <c r="O326"/>
  <c r="Q326"/>
  <c r="J326" s="1"/>
  <c r="R326"/>
  <c r="K326" s="1"/>
  <c r="M327"/>
  <c r="N327"/>
  <c r="O327"/>
  <c r="Q327"/>
  <c r="J327" s="1"/>
  <c r="R327"/>
  <c r="K327" s="1"/>
  <c r="M328"/>
  <c r="N328"/>
  <c r="O328"/>
  <c r="Q328"/>
  <c r="J328" s="1"/>
  <c r="R328"/>
  <c r="K328" s="1"/>
  <c r="M329"/>
  <c r="N329"/>
  <c r="O329"/>
  <c r="Q329"/>
  <c r="R329"/>
  <c r="K329" s="1"/>
  <c r="M330"/>
  <c r="N330"/>
  <c r="O330"/>
  <c r="Q330"/>
  <c r="J330" s="1"/>
  <c r="R330"/>
  <c r="K330" s="1"/>
  <c r="M331"/>
  <c r="N331"/>
  <c r="O331"/>
  <c r="Q331"/>
  <c r="R331"/>
  <c r="K331" s="1"/>
  <c r="M332"/>
  <c r="N332"/>
  <c r="O332"/>
  <c r="Q332"/>
  <c r="J332" s="1"/>
  <c r="R332"/>
  <c r="K332" s="1"/>
  <c r="M333"/>
  <c r="N333"/>
  <c r="O333"/>
  <c r="Q333"/>
  <c r="J333" s="1"/>
  <c r="R333"/>
  <c r="K333" s="1"/>
  <c r="M334"/>
  <c r="N334"/>
  <c r="O334"/>
  <c r="Q334"/>
  <c r="J334" s="1"/>
  <c r="R334"/>
  <c r="K334" s="1"/>
  <c r="M335"/>
  <c r="N335"/>
  <c r="O335"/>
  <c r="Q335"/>
  <c r="J335" s="1"/>
  <c r="R335"/>
  <c r="K335" s="1"/>
  <c r="M336"/>
  <c r="N336"/>
  <c r="O336"/>
  <c r="Q336"/>
  <c r="J336" s="1"/>
  <c r="R336"/>
  <c r="K336" s="1"/>
  <c r="M337"/>
  <c r="N337"/>
  <c r="O337"/>
  <c r="Q337"/>
  <c r="R337"/>
  <c r="K337" s="1"/>
  <c r="M338"/>
  <c r="N338"/>
  <c r="O338"/>
  <c r="Q338"/>
  <c r="J338" s="1"/>
  <c r="R338"/>
  <c r="K338" s="1"/>
  <c r="M339"/>
  <c r="N339"/>
  <c r="O339"/>
  <c r="Q339"/>
  <c r="R339"/>
  <c r="K339" s="1"/>
  <c r="M340"/>
  <c r="N340"/>
  <c r="O340"/>
  <c r="Q340"/>
  <c r="J340" s="1"/>
  <c r="R340"/>
  <c r="K340" s="1"/>
  <c r="M341"/>
  <c r="N341"/>
  <c r="O341"/>
  <c r="Q341"/>
  <c r="J341" s="1"/>
  <c r="R341"/>
  <c r="K341" s="1"/>
  <c r="M342"/>
  <c r="N342"/>
  <c r="O342"/>
  <c r="Q342"/>
  <c r="J342" s="1"/>
  <c r="R342"/>
  <c r="K342" s="1"/>
  <c r="M343"/>
  <c r="N343"/>
  <c r="O343"/>
  <c r="Q343"/>
  <c r="J343" s="1"/>
  <c r="R343"/>
  <c r="K343" s="1"/>
  <c r="M344"/>
  <c r="N344"/>
  <c r="O344"/>
  <c r="Q344"/>
  <c r="J344" s="1"/>
  <c r="R344"/>
  <c r="K344" s="1"/>
  <c r="M345"/>
  <c r="N345"/>
  <c r="O345"/>
  <c r="Q345"/>
  <c r="R345"/>
  <c r="K345" s="1"/>
  <c r="M346"/>
  <c r="N346"/>
  <c r="O346"/>
  <c r="Q346"/>
  <c r="J346" s="1"/>
  <c r="R346"/>
  <c r="K346" s="1"/>
  <c r="M347"/>
  <c r="N347"/>
  <c r="O347"/>
  <c r="Q347"/>
  <c r="R347"/>
  <c r="K347" s="1"/>
  <c r="M348"/>
  <c r="N348"/>
  <c r="O348"/>
  <c r="Q348"/>
  <c r="J348" s="1"/>
  <c r="R348"/>
  <c r="K348" s="1"/>
  <c r="M349"/>
  <c r="N349"/>
  <c r="O349"/>
  <c r="Q349"/>
  <c r="J349" s="1"/>
  <c r="R349"/>
  <c r="K349" s="1"/>
  <c r="M350"/>
  <c r="N350"/>
  <c r="O350"/>
  <c r="Q350"/>
  <c r="J350" s="1"/>
  <c r="R350"/>
  <c r="K350" s="1"/>
  <c r="M351"/>
  <c r="N351"/>
  <c r="O351"/>
  <c r="Q351"/>
  <c r="J351" s="1"/>
  <c r="R351"/>
  <c r="K351" s="1"/>
  <c r="M352"/>
  <c r="N352"/>
  <c r="O352"/>
  <c r="Q352"/>
  <c r="J352" s="1"/>
  <c r="R352"/>
  <c r="K352" s="1"/>
  <c r="M353"/>
  <c r="N353"/>
  <c r="O353"/>
  <c r="Q353"/>
  <c r="J353" s="1"/>
  <c r="R353"/>
  <c r="K353" s="1"/>
  <c r="M354"/>
  <c r="N354"/>
  <c r="O354"/>
  <c r="Q354"/>
  <c r="J354" s="1"/>
  <c r="R354"/>
  <c r="K354" s="1"/>
  <c r="M355"/>
  <c r="N355"/>
  <c r="O355"/>
  <c r="Q355"/>
  <c r="J355" s="1"/>
  <c r="R355"/>
  <c r="K355" s="1"/>
  <c r="M356"/>
  <c r="N356"/>
  <c r="O356"/>
  <c r="Q356"/>
  <c r="R356"/>
  <c r="K356" s="1"/>
  <c r="M357"/>
  <c r="N357"/>
  <c r="O357"/>
  <c r="Q357"/>
  <c r="J357" s="1"/>
  <c r="R357"/>
  <c r="K357" s="1"/>
  <c r="M358"/>
  <c r="N358"/>
  <c r="O358"/>
  <c r="Q358"/>
  <c r="R358"/>
  <c r="K358" s="1"/>
  <c r="M359"/>
  <c r="N359"/>
  <c r="O359"/>
  <c r="Q359"/>
  <c r="R359"/>
  <c r="K359" s="1"/>
  <c r="M360"/>
  <c r="N360"/>
  <c r="O360"/>
  <c r="Q360"/>
  <c r="J360" s="1"/>
  <c r="R360"/>
  <c r="K360" s="1"/>
  <c r="M361"/>
  <c r="N361"/>
  <c r="O361"/>
  <c r="Q361"/>
  <c r="J361" s="1"/>
  <c r="R361"/>
  <c r="K361" s="1"/>
  <c r="M362"/>
  <c r="N362"/>
  <c r="O362"/>
  <c r="Q362"/>
  <c r="J362" s="1"/>
  <c r="R362"/>
  <c r="K362" s="1"/>
  <c r="M363"/>
  <c r="N363"/>
  <c r="O363"/>
  <c r="Q363"/>
  <c r="J363" s="1"/>
  <c r="R363"/>
  <c r="K363" s="1"/>
  <c r="M364"/>
  <c r="N364"/>
  <c r="O364"/>
  <c r="Q364"/>
  <c r="J364" s="1"/>
  <c r="R364"/>
  <c r="K364" s="1"/>
  <c r="M365"/>
  <c r="N365"/>
  <c r="O365"/>
  <c r="Q365"/>
  <c r="R365"/>
  <c r="K365" s="1"/>
  <c r="M366"/>
  <c r="N366"/>
  <c r="O366"/>
  <c r="Q366"/>
  <c r="J366" s="1"/>
  <c r="R366"/>
  <c r="K366" s="1"/>
  <c r="M367"/>
  <c r="N367"/>
  <c r="O367"/>
  <c r="Q367"/>
  <c r="J367" s="1"/>
  <c r="R367"/>
  <c r="K367" s="1"/>
  <c r="M368"/>
  <c r="N368"/>
  <c r="O368"/>
  <c r="Q368"/>
  <c r="R368"/>
  <c r="K368" s="1"/>
  <c r="M369"/>
  <c r="N369"/>
  <c r="O369"/>
  <c r="Q369"/>
  <c r="J369" s="1"/>
  <c r="R369"/>
  <c r="K369" s="1"/>
  <c r="M370"/>
  <c r="N370"/>
  <c r="O370"/>
  <c r="Q370"/>
  <c r="R370"/>
  <c r="K370" s="1"/>
  <c r="M371"/>
  <c r="N371"/>
  <c r="O371"/>
  <c r="Q371"/>
  <c r="J371" s="1"/>
  <c r="R371"/>
  <c r="K371" s="1"/>
  <c r="M372"/>
  <c r="N372"/>
  <c r="O372"/>
  <c r="Q372"/>
  <c r="J372" s="1"/>
  <c r="R372"/>
  <c r="K372" s="1"/>
  <c r="M373"/>
  <c r="N373"/>
  <c r="O373"/>
  <c r="Q373"/>
  <c r="J373" s="1"/>
  <c r="R373"/>
  <c r="K373" s="1"/>
  <c r="M374"/>
  <c r="N374"/>
  <c r="O374"/>
  <c r="Q374"/>
  <c r="J374" s="1"/>
  <c r="R374"/>
  <c r="K374" s="1"/>
  <c r="M375"/>
  <c r="N375"/>
  <c r="O375"/>
  <c r="Q375"/>
  <c r="J375" s="1"/>
  <c r="R375"/>
  <c r="K375" s="1"/>
  <c r="M376"/>
  <c r="N376"/>
  <c r="O376"/>
  <c r="Q376"/>
  <c r="J376" s="1"/>
  <c r="R376"/>
  <c r="K376" s="1"/>
  <c r="M377"/>
  <c r="N377"/>
  <c r="O377"/>
  <c r="Q377"/>
  <c r="R377"/>
  <c r="K377" s="1"/>
  <c r="M378"/>
  <c r="N378"/>
  <c r="O378"/>
  <c r="Q378"/>
  <c r="J378" s="1"/>
  <c r="R378"/>
  <c r="K378" s="1"/>
  <c r="M379"/>
  <c r="N379"/>
  <c r="O379"/>
  <c r="Q379"/>
  <c r="R379"/>
  <c r="K379" s="1"/>
  <c r="M380"/>
  <c r="N380"/>
  <c r="O380"/>
  <c r="Q380"/>
  <c r="J380" s="1"/>
  <c r="R380"/>
  <c r="K380" s="1"/>
  <c r="M381"/>
  <c r="N381"/>
  <c r="O381"/>
  <c r="Q381"/>
  <c r="J381" s="1"/>
  <c r="R381"/>
  <c r="K381" s="1"/>
  <c r="M382"/>
  <c r="N382"/>
  <c r="O382"/>
  <c r="Q382"/>
  <c r="J382" s="1"/>
  <c r="R382"/>
  <c r="K382" s="1"/>
  <c r="M383"/>
  <c r="N383"/>
  <c r="O383"/>
  <c r="Q383"/>
  <c r="J383" s="1"/>
  <c r="R383"/>
  <c r="K383" s="1"/>
  <c r="M384"/>
  <c r="N384"/>
  <c r="O384"/>
  <c r="Q384"/>
  <c r="J384" s="1"/>
  <c r="R384"/>
  <c r="K384" s="1"/>
  <c r="M385"/>
  <c r="N385"/>
  <c r="O385"/>
  <c r="Q385"/>
  <c r="J385" s="1"/>
  <c r="R385"/>
  <c r="K385" s="1"/>
  <c r="M386"/>
  <c r="N386"/>
  <c r="O386"/>
  <c r="Q386"/>
  <c r="J386" s="1"/>
  <c r="R386"/>
  <c r="K386" s="1"/>
  <c r="M387"/>
  <c r="N387"/>
  <c r="O387"/>
  <c r="Q387"/>
  <c r="R387"/>
  <c r="M388"/>
  <c r="N388"/>
  <c r="O388"/>
  <c r="Q388"/>
  <c r="R388"/>
  <c r="M389"/>
  <c r="N389"/>
  <c r="O389"/>
  <c r="Q389"/>
  <c r="R389"/>
  <c r="M390"/>
  <c r="N390"/>
  <c r="O390"/>
  <c r="Q390"/>
  <c r="R390"/>
  <c r="M391"/>
  <c r="N391"/>
  <c r="O391"/>
  <c r="Q391"/>
  <c r="R391"/>
  <c r="M392"/>
  <c r="N392"/>
  <c r="O392"/>
  <c r="Q392"/>
  <c r="R392"/>
  <c r="M393"/>
  <c r="N393"/>
  <c r="O393"/>
  <c r="Q393"/>
  <c r="R393"/>
  <c r="M394"/>
  <c r="N394"/>
  <c r="O394"/>
  <c r="Q394"/>
  <c r="R394"/>
  <c r="M395"/>
  <c r="N395"/>
  <c r="O395"/>
  <c r="Q395"/>
  <c r="R395"/>
  <c r="M396"/>
  <c r="N396"/>
  <c r="O396"/>
  <c r="Q396"/>
  <c r="R396"/>
  <c r="M397"/>
  <c r="N397"/>
  <c r="O397"/>
  <c r="Q397"/>
  <c r="R397"/>
  <c r="M398"/>
  <c r="N398"/>
  <c r="O398"/>
  <c r="Q398"/>
  <c r="R398"/>
  <c r="M399"/>
  <c r="N399"/>
  <c r="O399"/>
  <c r="Q399"/>
  <c r="R399"/>
  <c r="M400"/>
  <c r="N400"/>
  <c r="O400"/>
  <c r="Q400"/>
  <c r="R400"/>
  <c r="M401"/>
  <c r="N401"/>
  <c r="O401"/>
  <c r="Q401"/>
  <c r="R401"/>
  <c r="M402"/>
  <c r="N402"/>
  <c r="O402"/>
  <c r="Q402"/>
  <c r="R402"/>
  <c r="M403"/>
  <c r="N403"/>
  <c r="O403"/>
  <c r="Q403"/>
  <c r="R403"/>
  <c r="M404"/>
  <c r="N404"/>
  <c r="O404"/>
  <c r="Q404"/>
  <c r="R404"/>
  <c r="M405"/>
  <c r="N405"/>
  <c r="O405"/>
  <c r="Q405"/>
  <c r="R405"/>
  <c r="M406"/>
  <c r="N406"/>
  <c r="O406"/>
  <c r="Q406"/>
  <c r="R406"/>
  <c r="M407"/>
  <c r="N407"/>
  <c r="O407"/>
  <c r="Q407"/>
  <c r="R407"/>
  <c r="M408"/>
  <c r="N408"/>
  <c r="O408"/>
  <c r="Q408"/>
  <c r="R408"/>
  <c r="M409"/>
  <c r="N409"/>
  <c r="O409"/>
  <c r="Q409"/>
  <c r="R409"/>
  <c r="M410"/>
  <c r="N410"/>
  <c r="O410"/>
  <c r="Q410"/>
  <c r="R410"/>
  <c r="M411"/>
  <c r="N411"/>
  <c r="O411"/>
  <c r="Q411"/>
  <c r="R411"/>
  <c r="M412"/>
  <c r="N412"/>
  <c r="O412"/>
  <c r="Q412"/>
  <c r="R412"/>
  <c r="M413"/>
  <c r="N413"/>
  <c r="O413"/>
  <c r="Q413"/>
  <c r="R413"/>
  <c r="M414"/>
  <c r="N414"/>
  <c r="O414"/>
  <c r="Q414"/>
  <c r="R414"/>
  <c r="M415"/>
  <c r="N415"/>
  <c r="O415"/>
  <c r="Q415"/>
  <c r="R415"/>
  <c r="M416"/>
  <c r="N416"/>
  <c r="O416"/>
  <c r="Q416"/>
  <c r="R416"/>
  <c r="M417"/>
  <c r="N417"/>
  <c r="O417"/>
  <c r="Q417"/>
  <c r="R417"/>
  <c r="M418"/>
  <c r="N418"/>
  <c r="O418"/>
  <c r="Q418"/>
  <c r="R418"/>
  <c r="M419"/>
  <c r="N419"/>
  <c r="O419"/>
  <c r="Q419"/>
  <c r="R419"/>
  <c r="M420"/>
  <c r="N420"/>
  <c r="O420"/>
  <c r="Q420"/>
  <c r="R420"/>
  <c r="M421"/>
  <c r="N421"/>
  <c r="O421"/>
  <c r="Q421"/>
  <c r="R421"/>
  <c r="M422"/>
  <c r="N422"/>
  <c r="O422"/>
  <c r="Q422"/>
  <c r="R422"/>
  <c r="M423"/>
  <c r="N423"/>
  <c r="O423"/>
  <c r="Q423"/>
  <c r="R423"/>
  <c r="M424"/>
  <c r="N424"/>
  <c r="O424"/>
  <c r="Q424"/>
  <c r="R424"/>
  <c r="M425"/>
  <c r="N425"/>
  <c r="O425"/>
  <c r="Q425"/>
  <c r="R425"/>
  <c r="M426"/>
  <c r="N426"/>
  <c r="O426"/>
  <c r="Q426"/>
  <c r="R426"/>
  <c r="M427"/>
  <c r="N427"/>
  <c r="O427"/>
  <c r="Q427"/>
  <c r="R427"/>
  <c r="M428"/>
  <c r="N428"/>
  <c r="O428"/>
  <c r="Q428"/>
  <c r="R428"/>
  <c r="M429"/>
  <c r="N429"/>
  <c r="O429"/>
  <c r="Q429"/>
  <c r="R429"/>
  <c r="M430"/>
  <c r="N430"/>
  <c r="O430"/>
  <c r="Q430"/>
  <c r="R430"/>
  <c r="M431"/>
  <c r="N431"/>
  <c r="O431"/>
  <c r="Q431"/>
  <c r="R431"/>
  <c r="M432"/>
  <c r="N432"/>
  <c r="O432"/>
  <c r="Q432"/>
  <c r="R432"/>
  <c r="M433"/>
  <c r="N433"/>
  <c r="O433"/>
  <c r="Q433"/>
  <c r="R433"/>
  <c r="M434"/>
  <c r="N434"/>
  <c r="O434"/>
  <c r="Q434"/>
  <c r="R434"/>
  <c r="M435"/>
  <c r="N435"/>
  <c r="O435"/>
  <c r="Q435"/>
  <c r="R435"/>
  <c r="M436"/>
  <c r="N436"/>
  <c r="O436"/>
  <c r="Q436"/>
  <c r="R436"/>
  <c r="M437"/>
  <c r="N437"/>
  <c r="O437"/>
  <c r="Q437"/>
  <c r="R437"/>
  <c r="M438"/>
  <c r="N438"/>
  <c r="O438"/>
  <c r="Q438"/>
  <c r="R438"/>
  <c r="M439"/>
  <c r="N439"/>
  <c r="O439"/>
  <c r="Q439"/>
  <c r="R439"/>
  <c r="M440"/>
  <c r="N440"/>
  <c r="O440"/>
  <c r="Q440"/>
  <c r="R440"/>
  <c r="M441"/>
  <c r="N441"/>
  <c r="O441"/>
  <c r="Q441"/>
  <c r="R441"/>
  <c r="M442"/>
  <c r="N442"/>
  <c r="O442"/>
  <c r="Q442"/>
  <c r="R442"/>
  <c r="M443"/>
  <c r="N443"/>
  <c r="O443"/>
  <c r="Q443"/>
  <c r="R443"/>
  <c r="M444"/>
  <c r="N444"/>
  <c r="O444"/>
  <c r="Q444"/>
  <c r="R444"/>
  <c r="M445"/>
  <c r="N445"/>
  <c r="O445"/>
  <c r="Q445"/>
  <c r="R445"/>
  <c r="M446"/>
  <c r="N446"/>
  <c r="O446"/>
  <c r="Q446"/>
  <c r="R446"/>
  <c r="M447"/>
  <c r="N447"/>
  <c r="O447"/>
  <c r="Q447"/>
  <c r="R447"/>
  <c r="M448"/>
  <c r="N448"/>
  <c r="O448"/>
  <c r="Q448"/>
  <c r="R448"/>
  <c r="M449"/>
  <c r="N449"/>
  <c r="O449"/>
  <c r="Q449"/>
  <c r="R449"/>
  <c r="M450"/>
  <c r="N450"/>
  <c r="O450"/>
  <c r="Q450"/>
  <c r="R450"/>
  <c r="M451"/>
  <c r="N451"/>
  <c r="O451"/>
  <c r="Q451"/>
  <c r="R451"/>
  <c r="M452"/>
  <c r="N452"/>
  <c r="O452"/>
  <c r="Q452"/>
  <c r="R452"/>
  <c r="M453"/>
  <c r="N453"/>
  <c r="O453"/>
  <c r="Q453"/>
  <c r="R453"/>
  <c r="M454"/>
  <c r="N454"/>
  <c r="O454"/>
  <c r="Q454"/>
  <c r="R454"/>
  <c r="M455"/>
  <c r="N455"/>
  <c r="O455"/>
  <c r="Q455"/>
  <c r="R455"/>
  <c r="M456"/>
  <c r="N456"/>
  <c r="O456"/>
  <c r="Q456"/>
  <c r="R456"/>
  <c r="M457"/>
  <c r="N457"/>
  <c r="O457"/>
  <c r="Q457"/>
  <c r="R457"/>
  <c r="M458"/>
  <c r="N458"/>
  <c r="O458"/>
  <c r="Q458"/>
  <c r="R458"/>
  <c r="M459"/>
  <c r="N459"/>
  <c r="O459"/>
  <c r="Q459"/>
  <c r="R459"/>
  <c r="M460"/>
  <c r="N460"/>
  <c r="O460"/>
  <c r="Q460"/>
  <c r="R460"/>
  <c r="M461"/>
  <c r="N461"/>
  <c r="O461"/>
  <c r="Q461"/>
  <c r="R461"/>
  <c r="M462"/>
  <c r="N462"/>
  <c r="O462"/>
  <c r="Q462"/>
  <c r="R462"/>
  <c r="M463"/>
  <c r="N463"/>
  <c r="O463"/>
  <c r="Q463"/>
  <c r="R463"/>
  <c r="M464"/>
  <c r="N464"/>
  <c r="O464"/>
  <c r="Q464"/>
  <c r="R464"/>
  <c r="M465"/>
  <c r="N465"/>
  <c r="O465"/>
  <c r="Q465"/>
  <c r="R465"/>
  <c r="M466"/>
  <c r="N466"/>
  <c r="O466"/>
  <c r="Q466"/>
  <c r="R466"/>
  <c r="M467"/>
  <c r="N467"/>
  <c r="O467"/>
  <c r="Q467"/>
  <c r="R467"/>
  <c r="M468"/>
  <c r="N468"/>
  <c r="O468"/>
  <c r="Q468"/>
  <c r="R468"/>
  <c r="M469"/>
  <c r="N469"/>
  <c r="O469"/>
  <c r="Q469"/>
  <c r="R469"/>
  <c r="M470"/>
  <c r="N470"/>
  <c r="O470"/>
  <c r="Q470"/>
  <c r="R470"/>
  <c r="M471"/>
  <c r="N471"/>
  <c r="O471"/>
  <c r="Q471"/>
  <c r="R471"/>
  <c r="M472"/>
  <c r="N472"/>
  <c r="O472"/>
  <c r="Q472"/>
  <c r="R472"/>
  <c r="M473"/>
  <c r="N473"/>
  <c r="O473"/>
  <c r="Q473"/>
  <c r="R473"/>
  <c r="M474"/>
  <c r="N474"/>
  <c r="O474"/>
  <c r="Q474"/>
  <c r="R474"/>
  <c r="M475"/>
  <c r="N475"/>
  <c r="O475"/>
  <c r="Q475"/>
  <c r="R475"/>
  <c r="M476"/>
  <c r="N476"/>
  <c r="O476"/>
  <c r="Q476"/>
  <c r="R476"/>
  <c r="M477"/>
  <c r="N477"/>
  <c r="O477"/>
  <c r="Q477"/>
  <c r="R477"/>
  <c r="M478"/>
  <c r="N478"/>
  <c r="O478"/>
  <c r="Q478"/>
  <c r="R478"/>
  <c r="M479"/>
  <c r="N479"/>
  <c r="O479"/>
  <c r="Q479"/>
  <c r="R479"/>
  <c r="M480"/>
  <c r="N480"/>
  <c r="O480"/>
  <c r="Q480"/>
  <c r="R480"/>
  <c r="M481"/>
  <c r="N481"/>
  <c r="O481"/>
  <c r="Q481"/>
  <c r="R481"/>
  <c r="M482"/>
  <c r="N482"/>
  <c r="O482"/>
  <c r="Q482"/>
  <c r="R482"/>
  <c r="M483"/>
  <c r="N483"/>
  <c r="O483"/>
  <c r="Q483"/>
  <c r="R483"/>
  <c r="M484"/>
  <c r="N484"/>
  <c r="O484"/>
  <c r="Q484"/>
  <c r="R484"/>
  <c r="M485"/>
  <c r="N485"/>
  <c r="O485"/>
  <c r="Q485"/>
  <c r="R485"/>
  <c r="M486"/>
  <c r="N486"/>
  <c r="O486"/>
  <c r="Q486"/>
  <c r="R486"/>
  <c r="M487"/>
  <c r="N487"/>
  <c r="O487"/>
  <c r="Q487"/>
  <c r="R487"/>
  <c r="M488"/>
  <c r="N488"/>
  <c r="O488"/>
  <c r="Q488"/>
  <c r="R488"/>
  <c r="M489"/>
  <c r="N489"/>
  <c r="O489"/>
  <c r="Q489"/>
  <c r="R489"/>
  <c r="M490"/>
  <c r="N490"/>
  <c r="O490"/>
  <c r="Q490"/>
  <c r="R490"/>
  <c r="M491"/>
  <c r="N491"/>
  <c r="O491"/>
  <c r="Q491"/>
  <c r="R491"/>
  <c r="M492"/>
  <c r="N492"/>
  <c r="O492"/>
  <c r="Q492"/>
  <c r="R492"/>
  <c r="M493"/>
  <c r="N493"/>
  <c r="O493"/>
  <c r="Q493"/>
  <c r="R493"/>
  <c r="M494"/>
  <c r="N494"/>
  <c r="O494"/>
  <c r="Q494"/>
  <c r="R494"/>
  <c r="M495"/>
  <c r="N495"/>
  <c r="O495"/>
  <c r="Q495"/>
  <c r="R495"/>
  <c r="M496"/>
  <c r="N496"/>
  <c r="O496"/>
  <c r="Q496"/>
  <c r="R496"/>
  <c r="M497"/>
  <c r="N497"/>
  <c r="O497"/>
  <c r="Q497"/>
  <c r="R497"/>
  <c r="M498"/>
  <c r="N498"/>
  <c r="O498"/>
  <c r="Q498"/>
  <c r="R498"/>
  <c r="M499"/>
  <c r="N499"/>
  <c r="O499"/>
  <c r="Q499"/>
  <c r="R499"/>
  <c r="M500"/>
  <c r="N500"/>
  <c r="O500"/>
  <c r="Q500"/>
  <c r="R500"/>
  <c r="M501"/>
  <c r="N501"/>
  <c r="O501"/>
  <c r="Q501"/>
  <c r="R501"/>
  <c r="M502"/>
  <c r="N502"/>
  <c r="O502"/>
  <c r="Q502"/>
  <c r="R502"/>
  <c r="M503"/>
  <c r="N503"/>
  <c r="O503"/>
  <c r="Q503"/>
  <c r="R503"/>
  <c r="M504"/>
  <c r="N504"/>
  <c r="O504"/>
  <c r="Q504"/>
  <c r="R504"/>
  <c r="M505"/>
  <c r="N505"/>
  <c r="O505"/>
  <c r="Q505"/>
  <c r="R505"/>
  <c r="M506"/>
  <c r="N506"/>
  <c r="O506"/>
  <c r="Q506"/>
  <c r="R506"/>
  <c r="M507"/>
  <c r="N507"/>
  <c r="O507"/>
  <c r="Q507"/>
  <c r="R507"/>
  <c r="M508"/>
  <c r="N508"/>
  <c r="O508"/>
  <c r="Q508"/>
  <c r="R508"/>
  <c r="M509"/>
  <c r="N509"/>
  <c r="O509"/>
  <c r="Q509"/>
  <c r="R509"/>
  <c r="M510"/>
  <c r="N510"/>
  <c r="O510"/>
  <c r="Q510"/>
  <c r="R510"/>
  <c r="M511"/>
  <c r="N511"/>
  <c r="O511"/>
  <c r="Q511"/>
  <c r="R511"/>
  <c r="M512"/>
  <c r="N512"/>
  <c r="O512"/>
  <c r="Q512"/>
  <c r="R512"/>
  <c r="M513"/>
  <c r="N513"/>
  <c r="O513"/>
  <c r="Q513"/>
  <c r="R513"/>
  <c r="M514"/>
  <c r="N514"/>
  <c r="O514"/>
  <c r="Q514"/>
  <c r="R514"/>
  <c r="M515"/>
  <c r="N515"/>
  <c r="O515"/>
  <c r="Q515"/>
  <c r="R515"/>
  <c r="M516"/>
  <c r="N516"/>
  <c r="O516"/>
  <c r="Q516"/>
  <c r="R516"/>
  <c r="M517"/>
  <c r="N517"/>
  <c r="O517"/>
  <c r="Q517"/>
  <c r="R517"/>
  <c r="M518"/>
  <c r="N518"/>
  <c r="O518"/>
  <c r="Q518"/>
  <c r="R518"/>
  <c r="M519"/>
  <c r="N519"/>
  <c r="O519"/>
  <c r="Q519"/>
  <c r="R519"/>
  <c r="M520"/>
  <c r="N520"/>
  <c r="O520"/>
  <c r="Q520"/>
  <c r="R520"/>
  <c r="M521"/>
  <c r="N521"/>
  <c r="O521"/>
  <c r="Q521"/>
  <c r="R521"/>
  <c r="M522"/>
  <c r="N522"/>
  <c r="O522"/>
  <c r="Q522"/>
  <c r="R522"/>
  <c r="M523"/>
  <c r="N523"/>
  <c r="O523"/>
  <c r="Q523"/>
  <c r="R523"/>
  <c r="M524"/>
  <c r="N524"/>
  <c r="O524"/>
  <c r="Q524"/>
  <c r="R524"/>
  <c r="M525"/>
  <c r="N525"/>
  <c r="O525"/>
  <c r="Q525"/>
  <c r="R525"/>
  <c r="M526"/>
  <c r="N526"/>
  <c r="O526"/>
  <c r="Q526"/>
  <c r="R526"/>
  <c r="M527"/>
  <c r="N527"/>
  <c r="O527"/>
  <c r="Q527"/>
  <c r="R527"/>
  <c r="M528"/>
  <c r="N528"/>
  <c r="O528"/>
  <c r="Q528"/>
  <c r="R528"/>
  <c r="M529"/>
  <c r="N529"/>
  <c r="O529"/>
  <c r="Q529"/>
  <c r="R529"/>
  <c r="M530"/>
  <c r="N530"/>
  <c r="O530"/>
  <c r="Q530"/>
  <c r="R530"/>
  <c r="M531"/>
  <c r="N531"/>
  <c r="O531"/>
  <c r="Q531"/>
  <c r="R531"/>
  <c r="M532"/>
  <c r="N532"/>
  <c r="O532"/>
  <c r="Q532"/>
  <c r="R532"/>
  <c r="M533"/>
  <c r="N533"/>
  <c r="O533"/>
  <c r="Q533"/>
  <c r="R533"/>
  <c r="M534"/>
  <c r="N534"/>
  <c r="O534"/>
  <c r="Q534"/>
  <c r="R534"/>
  <c r="M535"/>
  <c r="N535"/>
  <c r="O535"/>
  <c r="Q535"/>
  <c r="R535"/>
  <c r="M536"/>
  <c r="N536"/>
  <c r="O536"/>
  <c r="Q536"/>
  <c r="R536"/>
  <c r="M537"/>
  <c r="N537"/>
  <c r="O537"/>
  <c r="Q537"/>
  <c r="R537"/>
  <c r="M538"/>
  <c r="N538"/>
  <c r="O538"/>
  <c r="Q538"/>
  <c r="R538"/>
  <c r="M539"/>
  <c r="N539"/>
  <c r="O539"/>
  <c r="Q539"/>
  <c r="R539"/>
  <c r="M540"/>
  <c r="N540"/>
  <c r="O540"/>
  <c r="Q540"/>
  <c r="R540"/>
  <c r="M541"/>
  <c r="N541"/>
  <c r="O541"/>
  <c r="Q541"/>
  <c r="R541"/>
  <c r="M542"/>
  <c r="N542"/>
  <c r="O542"/>
  <c r="Q542"/>
  <c r="R542"/>
  <c r="M543"/>
  <c r="N543"/>
  <c r="O543"/>
  <c r="Q543"/>
  <c r="R543"/>
  <c r="M544"/>
  <c r="N544"/>
  <c r="O544"/>
  <c r="Q544"/>
  <c r="R544"/>
  <c r="M545"/>
  <c r="N545"/>
  <c r="O545"/>
  <c r="Q545"/>
  <c r="R545"/>
  <c r="M546"/>
  <c r="N546"/>
  <c r="O546"/>
  <c r="Q546"/>
  <c r="R546"/>
  <c r="M547"/>
  <c r="N547"/>
  <c r="O547"/>
  <c r="Q547"/>
  <c r="R547"/>
  <c r="M548"/>
  <c r="N548"/>
  <c r="O548"/>
  <c r="Q548"/>
  <c r="R548"/>
  <c r="M549"/>
  <c r="N549"/>
  <c r="O549"/>
  <c r="Q549"/>
  <c r="R549"/>
  <c r="M550"/>
  <c r="N550"/>
  <c r="O550"/>
  <c r="Q550"/>
  <c r="R550"/>
  <c r="M551"/>
  <c r="N551"/>
  <c r="O551"/>
  <c r="Q551"/>
  <c r="R551"/>
  <c r="M552"/>
  <c r="N552"/>
  <c r="O552"/>
  <c r="Q552"/>
  <c r="R552"/>
  <c r="M553"/>
  <c r="N553"/>
  <c r="O553"/>
  <c r="Q553"/>
  <c r="R553"/>
  <c r="M554"/>
  <c r="N554"/>
  <c r="O554"/>
  <c r="Q554"/>
  <c r="R554"/>
  <c r="M555"/>
  <c r="N555"/>
  <c r="O555"/>
  <c r="Q555"/>
  <c r="R555"/>
  <c r="M556"/>
  <c r="N556"/>
  <c r="O556"/>
  <c r="Q556"/>
  <c r="R556"/>
  <c r="M557"/>
  <c r="N557"/>
  <c r="O557"/>
  <c r="Q557"/>
  <c r="R557"/>
  <c r="M558"/>
  <c r="N558"/>
  <c r="O558"/>
  <c r="Q558"/>
  <c r="R558"/>
  <c r="M559"/>
  <c r="N559"/>
  <c r="O559"/>
  <c r="Q559"/>
  <c r="R559"/>
  <c r="M560"/>
  <c r="N560"/>
  <c r="O560"/>
  <c r="Q560"/>
  <c r="R560"/>
  <c r="M561"/>
  <c r="N561"/>
  <c r="O561"/>
  <c r="Q561"/>
  <c r="R561"/>
  <c r="M562"/>
  <c r="N562"/>
  <c r="O562"/>
  <c r="Q562"/>
  <c r="R562"/>
  <c r="M563"/>
  <c r="N563"/>
  <c r="O563"/>
  <c r="Q563"/>
  <c r="R563"/>
  <c r="M564"/>
  <c r="N564"/>
  <c r="O564"/>
  <c r="Q564"/>
  <c r="R564"/>
  <c r="M565"/>
  <c r="N565"/>
  <c r="O565"/>
  <c r="Q565"/>
  <c r="R565"/>
  <c r="M566"/>
  <c r="N566"/>
  <c r="O566"/>
  <c r="Q566"/>
  <c r="R566"/>
  <c r="M567"/>
  <c r="N567"/>
  <c r="O567"/>
  <c r="Q567"/>
  <c r="R567"/>
  <c r="M568"/>
  <c r="N568"/>
  <c r="O568"/>
  <c r="Q568"/>
  <c r="R568"/>
  <c r="M569"/>
  <c r="N569"/>
  <c r="O569"/>
  <c r="Q569"/>
  <c r="R569"/>
  <c r="M570"/>
  <c r="N570"/>
  <c r="O570"/>
  <c r="Q570"/>
  <c r="R570"/>
  <c r="M571"/>
  <c r="N571"/>
  <c r="O571"/>
  <c r="Q571"/>
  <c r="R571"/>
  <c r="M572"/>
  <c r="N572"/>
  <c r="O572"/>
  <c r="Q572"/>
  <c r="R572"/>
  <c r="M573"/>
  <c r="N573"/>
  <c r="O573"/>
  <c r="Q573"/>
  <c r="R573"/>
  <c r="M574"/>
  <c r="N574"/>
  <c r="O574"/>
  <c r="Q574"/>
  <c r="R574"/>
  <c r="M575"/>
  <c r="N575"/>
  <c r="O575"/>
  <c r="Q575"/>
  <c r="R575"/>
  <c r="M576"/>
  <c r="N576"/>
  <c r="O576"/>
  <c r="Q576"/>
  <c r="R576"/>
  <c r="M577"/>
  <c r="N577"/>
  <c r="O577"/>
  <c r="Q577"/>
  <c r="R577"/>
  <c r="M578"/>
  <c r="N578"/>
  <c r="O578"/>
  <c r="Q578"/>
  <c r="R578"/>
  <c r="M579"/>
  <c r="N579"/>
  <c r="O579"/>
  <c r="Q579"/>
  <c r="R579"/>
  <c r="M580"/>
  <c r="N580"/>
  <c r="O580"/>
  <c r="Q580"/>
  <c r="R580"/>
  <c r="M581"/>
  <c r="N581"/>
  <c r="O581"/>
  <c r="Q581"/>
  <c r="R581"/>
  <c r="M582"/>
  <c r="N582"/>
  <c r="O582"/>
  <c r="Q582"/>
  <c r="R582"/>
  <c r="M583"/>
  <c r="N583"/>
  <c r="O583"/>
  <c r="Q583"/>
  <c r="R583"/>
  <c r="M584"/>
  <c r="N584"/>
  <c r="O584"/>
  <c r="Q584"/>
  <c r="R584"/>
  <c r="M585"/>
  <c r="N585"/>
  <c r="O585"/>
  <c r="Q585"/>
  <c r="R585"/>
  <c r="M586"/>
  <c r="N586"/>
  <c r="O586"/>
  <c r="Q586"/>
  <c r="R586"/>
  <c r="M587"/>
  <c r="N587"/>
  <c r="O587"/>
  <c r="Q587"/>
  <c r="R587"/>
  <c r="M588"/>
  <c r="N588"/>
  <c r="O588"/>
  <c r="Q588"/>
  <c r="R588"/>
  <c r="M589"/>
  <c r="N589"/>
  <c r="O589"/>
  <c r="Q589"/>
  <c r="R589"/>
  <c r="M590"/>
  <c r="N590"/>
  <c r="O590"/>
  <c r="Q590"/>
  <c r="R590"/>
  <c r="M591"/>
  <c r="N591"/>
  <c r="O591"/>
  <c r="Q591"/>
  <c r="R591"/>
  <c r="M592"/>
  <c r="N592"/>
  <c r="O592"/>
  <c r="Q592"/>
  <c r="R592"/>
  <c r="M593"/>
  <c r="N593"/>
  <c r="O593"/>
  <c r="Q593"/>
  <c r="R593"/>
  <c r="M594"/>
  <c r="N594"/>
  <c r="O594"/>
  <c r="Q594"/>
  <c r="R594"/>
  <c r="M595"/>
  <c r="N595"/>
  <c r="O595"/>
  <c r="Q595"/>
  <c r="R595"/>
  <c r="M596"/>
  <c r="N596"/>
  <c r="O596"/>
  <c r="Q596"/>
  <c r="R596"/>
  <c r="M597"/>
  <c r="N597"/>
  <c r="O597"/>
  <c r="Q597"/>
  <c r="R597"/>
  <c r="M598"/>
  <c r="N598"/>
  <c r="O598"/>
  <c r="Q598"/>
  <c r="R598"/>
  <c r="M599"/>
  <c r="N599"/>
  <c r="O599"/>
  <c r="Q599"/>
  <c r="R599"/>
  <c r="M600"/>
  <c r="N600"/>
  <c r="O600"/>
  <c r="Q600"/>
  <c r="R600"/>
  <c r="M601"/>
  <c r="N601"/>
  <c r="O601"/>
  <c r="Q601"/>
  <c r="R601"/>
  <c r="M602"/>
  <c r="N602"/>
  <c r="O602"/>
  <c r="Q602"/>
  <c r="R602"/>
  <c r="M603"/>
  <c r="N603"/>
  <c r="O603"/>
  <c r="Q603"/>
  <c r="R603"/>
  <c r="M604"/>
  <c r="N604"/>
  <c r="O604"/>
  <c r="Q604"/>
  <c r="R604"/>
  <c r="M605"/>
  <c r="N605"/>
  <c r="O605"/>
  <c r="Q605"/>
  <c r="R605"/>
  <c r="M606"/>
  <c r="N606"/>
  <c r="O606"/>
  <c r="Q606"/>
  <c r="R606"/>
  <c r="M607"/>
  <c r="N607"/>
  <c r="O607"/>
  <c r="Q607"/>
  <c r="R607"/>
  <c r="M608"/>
  <c r="N608"/>
  <c r="O608"/>
  <c r="Q608"/>
  <c r="R608"/>
  <c r="M609"/>
  <c r="N609"/>
  <c r="O609"/>
  <c r="Q609"/>
  <c r="R609"/>
  <c r="M610"/>
  <c r="N610"/>
  <c r="O610"/>
  <c r="Q610"/>
  <c r="R610"/>
  <c r="M611"/>
  <c r="N611"/>
  <c r="O611"/>
  <c r="Q611"/>
  <c r="R611"/>
  <c r="M612"/>
  <c r="N612"/>
  <c r="O612"/>
  <c r="Q612"/>
  <c r="R612"/>
  <c r="M613"/>
  <c r="N613"/>
  <c r="O613"/>
  <c r="Q613"/>
  <c r="R613"/>
  <c r="M614"/>
  <c r="N614"/>
  <c r="O614"/>
  <c r="Q614"/>
  <c r="R614"/>
  <c r="M615"/>
  <c r="N615"/>
  <c r="O615"/>
  <c r="Q615"/>
  <c r="R615"/>
  <c r="M616"/>
  <c r="N616"/>
  <c r="O616"/>
  <c r="Q616"/>
  <c r="R616"/>
  <c r="M617"/>
  <c r="N617"/>
  <c r="O617"/>
  <c r="Q617"/>
  <c r="R617"/>
  <c r="M618"/>
  <c r="N618"/>
  <c r="O618"/>
  <c r="Q618"/>
  <c r="R618"/>
  <c r="M619"/>
  <c r="N619"/>
  <c r="O619"/>
  <c r="Q619"/>
  <c r="R619"/>
  <c r="M620"/>
  <c r="N620"/>
  <c r="O620"/>
  <c r="Q620"/>
  <c r="R620"/>
  <c r="M621"/>
  <c r="N621"/>
  <c r="O621"/>
  <c r="Q621"/>
  <c r="R621"/>
  <c r="M622"/>
  <c r="N622"/>
  <c r="O622"/>
  <c r="Q622"/>
  <c r="R622"/>
  <c r="M623"/>
  <c r="N623"/>
  <c r="O623"/>
  <c r="Q623"/>
  <c r="R623"/>
  <c r="M624"/>
  <c r="N624"/>
  <c r="O624"/>
  <c r="Q624"/>
  <c r="R624"/>
  <c r="M625"/>
  <c r="N625"/>
  <c r="O625"/>
  <c r="Q625"/>
  <c r="R625"/>
  <c r="M626"/>
  <c r="N626"/>
  <c r="O626"/>
  <c r="Q626"/>
  <c r="R626"/>
  <c r="M627"/>
  <c r="N627"/>
  <c r="O627"/>
  <c r="Q627"/>
  <c r="R627"/>
  <c r="M628"/>
  <c r="N628"/>
  <c r="O628"/>
  <c r="Q628"/>
  <c r="R628"/>
  <c r="M629"/>
  <c r="N629"/>
  <c r="O629"/>
  <c r="Q629"/>
  <c r="R629"/>
  <c r="M630"/>
  <c r="N630"/>
  <c r="O630"/>
  <c r="Q630"/>
  <c r="R630"/>
  <c r="M631"/>
  <c r="N631"/>
  <c r="O631"/>
  <c r="Q631"/>
  <c r="R631"/>
  <c r="M632"/>
  <c r="N632"/>
  <c r="O632"/>
  <c r="Q632"/>
  <c r="R632"/>
  <c r="M633"/>
  <c r="N633"/>
  <c r="O633"/>
  <c r="Q633"/>
  <c r="R633"/>
  <c r="M634"/>
  <c r="N634"/>
  <c r="O634"/>
  <c r="Q634"/>
  <c r="R634"/>
  <c r="M635"/>
  <c r="N635"/>
  <c r="O635"/>
  <c r="Q635"/>
  <c r="R635"/>
  <c r="M636"/>
  <c r="N636"/>
  <c r="O636"/>
  <c r="Q636"/>
  <c r="R636"/>
  <c r="M637"/>
  <c r="N637"/>
  <c r="O637"/>
  <c r="Q637"/>
  <c r="R637"/>
  <c r="M638"/>
  <c r="N638"/>
  <c r="O638"/>
  <c r="Q638"/>
  <c r="R638"/>
  <c r="M639"/>
  <c r="N639"/>
  <c r="O639"/>
  <c r="Q639"/>
  <c r="R639"/>
  <c r="M640"/>
  <c r="N640"/>
  <c r="O640"/>
  <c r="Q640"/>
  <c r="R640"/>
  <c r="M641"/>
  <c r="N641"/>
  <c r="O641"/>
  <c r="Q641"/>
  <c r="R641"/>
  <c r="M642"/>
  <c r="N642"/>
  <c r="O642"/>
  <c r="Q642"/>
  <c r="R642"/>
  <c r="M643"/>
  <c r="N643"/>
  <c r="O643"/>
  <c r="Q643"/>
  <c r="R643"/>
  <c r="M644"/>
  <c r="N644"/>
  <c r="O644"/>
  <c r="Q644"/>
  <c r="R644"/>
  <c r="M645"/>
  <c r="N645"/>
  <c r="O645"/>
  <c r="Q645"/>
  <c r="R645"/>
  <c r="M646"/>
  <c r="N646"/>
  <c r="O646"/>
  <c r="Q646"/>
  <c r="R646"/>
  <c r="M647"/>
  <c r="N647"/>
  <c r="O647"/>
  <c r="Q647"/>
  <c r="R647"/>
  <c r="M648"/>
  <c r="N648"/>
  <c r="O648"/>
  <c r="Q648"/>
  <c r="R648"/>
  <c r="M649"/>
  <c r="N649"/>
  <c r="O649"/>
  <c r="Q649"/>
  <c r="R649"/>
  <c r="M650"/>
  <c r="N650"/>
  <c r="O650"/>
  <c r="Q650"/>
  <c r="R650"/>
  <c r="M651"/>
  <c r="N651"/>
  <c r="O651"/>
  <c r="Q651"/>
  <c r="R651"/>
  <c r="M652"/>
  <c r="N652"/>
  <c r="O652"/>
  <c r="Q652"/>
  <c r="R652"/>
  <c r="M653"/>
  <c r="N653"/>
  <c r="O653"/>
  <c r="Q653"/>
  <c r="R653"/>
  <c r="M654"/>
  <c r="N654"/>
  <c r="O654"/>
  <c r="Q654"/>
  <c r="R654"/>
  <c r="M655"/>
  <c r="N655"/>
  <c r="O655"/>
  <c r="Q655"/>
  <c r="R655"/>
  <c r="M656"/>
  <c r="N656"/>
  <c r="O656"/>
  <c r="Q656"/>
  <c r="R656"/>
  <c r="M657"/>
  <c r="N657"/>
  <c r="O657"/>
  <c r="Q657"/>
  <c r="R657"/>
  <c r="M658"/>
  <c r="N658"/>
  <c r="O658"/>
  <c r="Q658"/>
  <c r="R658"/>
  <c r="M659"/>
  <c r="N659"/>
  <c r="O659"/>
  <c r="Q659"/>
  <c r="R659"/>
  <c r="M660"/>
  <c r="N660"/>
  <c r="O660"/>
  <c r="Q660"/>
  <c r="R660"/>
  <c r="M661"/>
  <c r="N661"/>
  <c r="O661"/>
  <c r="Q661"/>
  <c r="R661"/>
  <c r="M662"/>
  <c r="N662"/>
  <c r="O662"/>
  <c r="Q662"/>
  <c r="R662"/>
  <c r="M663"/>
  <c r="N663"/>
  <c r="O663"/>
  <c r="Q663"/>
  <c r="R663"/>
  <c r="M664"/>
  <c r="N664"/>
  <c r="O664"/>
  <c r="Q664"/>
  <c r="R664"/>
  <c r="M665"/>
  <c r="N665"/>
  <c r="O665"/>
  <c r="Q665"/>
  <c r="R665"/>
  <c r="M666"/>
  <c r="N666"/>
  <c r="O666"/>
  <c r="Q666"/>
  <c r="R666"/>
  <c r="M667"/>
  <c r="N667"/>
  <c r="O667"/>
  <c r="Q667"/>
  <c r="R667"/>
  <c r="M668"/>
  <c r="N668"/>
  <c r="O668"/>
  <c r="Q668"/>
  <c r="R668"/>
  <c r="M669"/>
  <c r="N669"/>
  <c r="O669"/>
  <c r="Q669"/>
  <c r="R669"/>
  <c r="M670"/>
  <c r="N670"/>
  <c r="O670"/>
  <c r="Q670"/>
  <c r="R670"/>
  <c r="M671"/>
  <c r="N671"/>
  <c r="O671"/>
  <c r="Q671"/>
  <c r="R671"/>
  <c r="M672"/>
  <c r="N672"/>
  <c r="O672"/>
  <c r="Q672"/>
  <c r="R672"/>
  <c r="M673"/>
  <c r="N673"/>
  <c r="O673"/>
  <c r="Q673"/>
  <c r="R673"/>
  <c r="M674"/>
  <c r="N674"/>
  <c r="O674"/>
  <c r="Q674"/>
  <c r="R674"/>
  <c r="M675"/>
  <c r="N675"/>
  <c r="O675"/>
  <c r="Q675"/>
  <c r="R675"/>
  <c r="M676"/>
  <c r="N676"/>
  <c r="O676"/>
  <c r="Q676"/>
  <c r="R676"/>
  <c r="M677"/>
  <c r="N677"/>
  <c r="O677"/>
  <c r="Q677"/>
  <c r="R677"/>
  <c r="M678"/>
  <c r="N678"/>
  <c r="O678"/>
  <c r="Q678"/>
  <c r="R678"/>
  <c r="M679"/>
  <c r="N679"/>
  <c r="O679"/>
  <c r="Q679"/>
  <c r="R679"/>
  <c r="M680"/>
  <c r="N680"/>
  <c r="O680"/>
  <c r="Q680"/>
  <c r="R680"/>
  <c r="M681"/>
  <c r="N681"/>
  <c r="O681"/>
  <c r="Q681"/>
  <c r="R681"/>
  <c r="M682"/>
  <c r="N682"/>
  <c r="O682"/>
  <c r="Q682"/>
  <c r="R682"/>
  <c r="M683"/>
  <c r="N683"/>
  <c r="O683"/>
  <c r="Q683"/>
  <c r="R683"/>
  <c r="M684"/>
  <c r="N684"/>
  <c r="O684"/>
  <c r="Q684"/>
  <c r="R684"/>
  <c r="M685"/>
  <c r="N685"/>
  <c r="O685"/>
  <c r="Q685"/>
  <c r="R685"/>
  <c r="M686"/>
  <c r="N686"/>
  <c r="O686"/>
  <c r="Q686"/>
  <c r="R686"/>
  <c r="M687"/>
  <c r="N687"/>
  <c r="O687"/>
  <c r="Q687"/>
  <c r="R687"/>
  <c r="M688"/>
  <c r="N688"/>
  <c r="O688"/>
  <c r="Q688"/>
  <c r="R688"/>
  <c r="M689"/>
  <c r="N689"/>
  <c r="O689"/>
  <c r="Q689"/>
  <c r="R689"/>
  <c r="M690"/>
  <c r="N690"/>
  <c r="O690"/>
  <c r="Q690"/>
  <c r="R690"/>
  <c r="M691"/>
  <c r="N691"/>
  <c r="O691"/>
  <c r="Q691"/>
  <c r="R691"/>
  <c r="M692"/>
  <c r="N692"/>
  <c r="O692"/>
  <c r="Q692"/>
  <c r="R692"/>
  <c r="M693"/>
  <c r="N693"/>
  <c r="O693"/>
  <c r="Q693"/>
  <c r="R693"/>
  <c r="M694"/>
  <c r="N694"/>
  <c r="O694"/>
  <c r="Q694"/>
  <c r="R694"/>
  <c r="M695"/>
  <c r="N695"/>
  <c r="O695"/>
  <c r="Q695"/>
  <c r="R695"/>
  <c r="M696"/>
  <c r="N696"/>
  <c r="O696"/>
  <c r="Q696"/>
  <c r="R696"/>
  <c r="M697"/>
  <c r="N697"/>
  <c r="O697"/>
  <c r="Q697"/>
  <c r="R697"/>
  <c r="M698"/>
  <c r="N698"/>
  <c r="O698"/>
  <c r="Q698"/>
  <c r="R698"/>
  <c r="M699"/>
  <c r="N699"/>
  <c r="O699"/>
  <c r="Q699"/>
  <c r="R699"/>
  <c r="M700"/>
  <c r="N700"/>
  <c r="O700"/>
  <c r="Q700"/>
  <c r="R700"/>
  <c r="M701"/>
  <c r="N701"/>
  <c r="O701"/>
  <c r="Q701"/>
  <c r="R701"/>
  <c r="M702"/>
  <c r="N702"/>
  <c r="O702"/>
  <c r="Q702"/>
  <c r="R702"/>
  <c r="M703"/>
  <c r="N703"/>
  <c r="O703"/>
  <c r="Q703"/>
  <c r="R703"/>
  <c r="M704"/>
  <c r="N704"/>
  <c r="O704"/>
  <c r="Q704"/>
  <c r="R704"/>
  <c r="M705"/>
  <c r="N705"/>
  <c r="O705"/>
  <c r="Q705"/>
  <c r="R705"/>
  <c r="M706"/>
  <c r="N706"/>
  <c r="O706"/>
  <c r="Q706"/>
  <c r="R706"/>
  <c r="M707"/>
  <c r="N707"/>
  <c r="O707"/>
  <c r="Q707"/>
  <c r="R707"/>
  <c r="M708"/>
  <c r="N708"/>
  <c r="O708"/>
  <c r="Q708"/>
  <c r="R708"/>
  <c r="M709"/>
  <c r="N709"/>
  <c r="O709"/>
  <c r="Q709"/>
  <c r="R709"/>
  <c r="M710"/>
  <c r="N710"/>
  <c r="O710"/>
  <c r="Q710"/>
  <c r="R710"/>
  <c r="M711"/>
  <c r="N711"/>
  <c r="O711"/>
  <c r="Q711"/>
  <c r="R711"/>
  <c r="M712"/>
  <c r="N712"/>
  <c r="O712"/>
  <c r="Q712"/>
  <c r="R712"/>
  <c r="M713"/>
  <c r="N713"/>
  <c r="O713"/>
  <c r="Q713"/>
  <c r="R713"/>
  <c r="M714"/>
  <c r="N714"/>
  <c r="O714"/>
  <c r="Q714"/>
  <c r="R714"/>
  <c r="M715"/>
  <c r="N715"/>
  <c r="O715"/>
  <c r="Q715"/>
  <c r="R715"/>
  <c r="M716"/>
  <c r="N716"/>
  <c r="O716"/>
  <c r="Q716"/>
  <c r="R716"/>
  <c r="M717"/>
  <c r="N717"/>
  <c r="O717"/>
  <c r="Q717"/>
  <c r="R717"/>
  <c r="M718"/>
  <c r="N718"/>
  <c r="O718"/>
  <c r="Q718"/>
  <c r="R718"/>
  <c r="M719"/>
  <c r="N719"/>
  <c r="O719"/>
  <c r="Q719"/>
  <c r="R719"/>
  <c r="M720"/>
  <c r="N720"/>
  <c r="O720"/>
  <c r="Q720"/>
  <c r="R720"/>
  <c r="M721"/>
  <c r="N721"/>
  <c r="O721"/>
  <c r="Q721"/>
  <c r="R721"/>
  <c r="M722"/>
  <c r="N722"/>
  <c r="O722"/>
  <c r="Q722"/>
  <c r="R722"/>
  <c r="M723"/>
  <c r="N723"/>
  <c r="O723"/>
  <c r="Q723"/>
  <c r="R723"/>
  <c r="M724"/>
  <c r="N724"/>
  <c r="O724"/>
  <c r="Q724"/>
  <c r="R724"/>
  <c r="M725"/>
  <c r="N725"/>
  <c r="O725"/>
  <c r="Q725"/>
  <c r="R725"/>
  <c r="M726"/>
  <c r="N726"/>
  <c r="O726"/>
  <c r="Q726"/>
  <c r="R726"/>
  <c r="M727"/>
  <c r="N727"/>
  <c r="O727"/>
  <c r="Q727"/>
  <c r="R727"/>
  <c r="M728"/>
  <c r="N728"/>
  <c r="O728"/>
  <c r="Q728"/>
  <c r="R728"/>
  <c r="M729"/>
  <c r="N729"/>
  <c r="O729"/>
  <c r="Q729"/>
  <c r="R729"/>
  <c r="M730"/>
  <c r="N730"/>
  <c r="O730"/>
  <c r="Q730"/>
  <c r="R730"/>
  <c r="M731"/>
  <c r="N731"/>
  <c r="O731"/>
  <c r="Q731"/>
  <c r="R731"/>
  <c r="M732"/>
  <c r="N732"/>
  <c r="O732"/>
  <c r="Q732"/>
  <c r="R732"/>
  <c r="M733"/>
  <c r="N733"/>
  <c r="O733"/>
  <c r="Q733"/>
  <c r="R733"/>
  <c r="M734"/>
  <c r="N734"/>
  <c r="O734"/>
  <c r="Q734"/>
  <c r="R734"/>
  <c r="M735"/>
  <c r="N735"/>
  <c r="O735"/>
  <c r="Q735"/>
  <c r="R735"/>
  <c r="M736"/>
  <c r="N736"/>
  <c r="O736"/>
  <c r="Q736"/>
  <c r="R736"/>
  <c r="M737"/>
  <c r="N737"/>
  <c r="O737"/>
  <c r="Q737"/>
  <c r="R737"/>
  <c r="M738"/>
  <c r="N738"/>
  <c r="O738"/>
  <c r="Q738"/>
  <c r="R738"/>
  <c r="M739"/>
  <c r="N739"/>
  <c r="O739"/>
  <c r="Q739"/>
  <c r="R739"/>
  <c r="M740"/>
  <c r="N740"/>
  <c r="O740"/>
  <c r="Q740"/>
  <c r="R740"/>
  <c r="M741"/>
  <c r="N741"/>
  <c r="O741"/>
  <c r="Q741"/>
  <c r="R741"/>
  <c r="M742"/>
  <c r="N742"/>
  <c r="O742"/>
  <c r="Q742"/>
  <c r="R742"/>
  <c r="M743"/>
  <c r="N743"/>
  <c r="O743"/>
  <c r="Q743"/>
  <c r="R743"/>
  <c r="M744"/>
  <c r="N744"/>
  <c r="O744"/>
  <c r="Q744"/>
  <c r="R744"/>
  <c r="M745"/>
  <c r="N745"/>
  <c r="O745"/>
  <c r="Q745"/>
  <c r="R745"/>
  <c r="M746"/>
  <c r="N746"/>
  <c r="O746"/>
  <c r="Q746"/>
  <c r="R746"/>
  <c r="M747"/>
  <c r="N747"/>
  <c r="O747"/>
  <c r="Q747"/>
  <c r="R747"/>
  <c r="M748"/>
  <c r="N748"/>
  <c r="O748"/>
  <c r="Q748"/>
  <c r="R748"/>
  <c r="M749"/>
  <c r="N749"/>
  <c r="O749"/>
  <c r="Q749"/>
  <c r="R749"/>
  <c r="M750"/>
  <c r="N750"/>
  <c r="O750"/>
  <c r="Q750"/>
  <c r="R750"/>
  <c r="M751"/>
  <c r="N751"/>
  <c r="O751"/>
  <c r="Q751"/>
  <c r="R751"/>
  <c r="M752"/>
  <c r="N752"/>
  <c r="O752"/>
  <c r="Q752"/>
  <c r="R752"/>
  <c r="M753"/>
  <c r="N753"/>
  <c r="O753"/>
  <c r="Q753"/>
  <c r="R753"/>
  <c r="M754"/>
  <c r="N754"/>
  <c r="O754"/>
  <c r="Q754"/>
  <c r="R754"/>
  <c r="M755"/>
  <c r="N755"/>
  <c r="O755"/>
  <c r="Q755"/>
  <c r="R755"/>
  <c r="M756"/>
  <c r="N756"/>
  <c r="O756"/>
  <c r="Q756"/>
  <c r="R756"/>
  <c r="M757"/>
  <c r="N757"/>
  <c r="O757"/>
  <c r="Q757"/>
  <c r="R757"/>
  <c r="M758"/>
  <c r="N758"/>
  <c r="O758"/>
  <c r="Q758"/>
  <c r="R758"/>
  <c r="M759"/>
  <c r="N759"/>
  <c r="O759"/>
  <c r="Q759"/>
  <c r="R759"/>
  <c r="M760"/>
  <c r="N760"/>
  <c r="O760"/>
  <c r="Q760"/>
  <c r="R760"/>
  <c r="M761"/>
  <c r="N761"/>
  <c r="O761"/>
  <c r="Q761"/>
  <c r="R761"/>
  <c r="M762"/>
  <c r="N762"/>
  <c r="O762"/>
  <c r="Q762"/>
  <c r="R762"/>
  <c r="M763"/>
  <c r="N763"/>
  <c r="O763"/>
  <c r="Q763"/>
  <c r="R763"/>
  <c r="M764"/>
  <c r="N764"/>
  <c r="O764"/>
  <c r="Q764"/>
  <c r="R764"/>
  <c r="M765"/>
  <c r="N765"/>
  <c r="O765"/>
  <c r="Q765"/>
  <c r="R765"/>
  <c r="M766"/>
  <c r="N766"/>
  <c r="O766"/>
  <c r="Q766"/>
  <c r="R766"/>
  <c r="M767"/>
  <c r="N767"/>
  <c r="O767"/>
  <c r="Q767"/>
  <c r="R767"/>
  <c r="M768"/>
  <c r="N768"/>
  <c r="O768"/>
  <c r="Q768"/>
  <c r="R768"/>
  <c r="M769"/>
  <c r="N769"/>
  <c r="O769"/>
  <c r="Q769"/>
  <c r="R769"/>
  <c r="M770"/>
  <c r="N770"/>
  <c r="O770"/>
  <c r="Q770"/>
  <c r="R770"/>
  <c r="M771"/>
  <c r="N771"/>
  <c r="O771"/>
  <c r="Q771"/>
  <c r="R771"/>
  <c r="M772"/>
  <c r="N772"/>
  <c r="O772"/>
  <c r="Q772"/>
  <c r="R772"/>
  <c r="M773"/>
  <c r="N773"/>
  <c r="O773"/>
  <c r="Q773"/>
  <c r="R773"/>
  <c r="M774"/>
  <c r="N774"/>
  <c r="O774"/>
  <c r="Q774"/>
  <c r="R774"/>
  <c r="M775"/>
  <c r="N775"/>
  <c r="O775"/>
  <c r="Q775"/>
  <c r="R775"/>
  <c r="M776"/>
  <c r="N776"/>
  <c r="O776"/>
  <c r="Q776"/>
  <c r="R776"/>
  <c r="M777"/>
  <c r="N777"/>
  <c r="O777"/>
  <c r="Q777"/>
  <c r="R777"/>
  <c r="M778"/>
  <c r="N778"/>
  <c r="O778"/>
  <c r="Q778"/>
  <c r="R778"/>
  <c r="M779"/>
  <c r="N779"/>
  <c r="O779"/>
  <c r="Q779"/>
  <c r="R779"/>
  <c r="M780"/>
  <c r="N780"/>
  <c r="O780"/>
  <c r="Q780"/>
  <c r="R780"/>
  <c r="M781"/>
  <c r="N781"/>
  <c r="O781"/>
  <c r="Q781"/>
  <c r="R781"/>
  <c r="M782"/>
  <c r="N782"/>
  <c r="O782"/>
  <c r="Q782"/>
  <c r="R782"/>
  <c r="M783"/>
  <c r="N783"/>
  <c r="O783"/>
  <c r="Q783"/>
  <c r="R783"/>
  <c r="M784"/>
  <c r="N784"/>
  <c r="O784"/>
  <c r="Q784"/>
  <c r="R784"/>
  <c r="M785"/>
  <c r="N785"/>
  <c r="O785"/>
  <c r="Q785"/>
  <c r="R785"/>
  <c r="M786"/>
  <c r="N786"/>
  <c r="O786"/>
  <c r="Q786"/>
  <c r="R786"/>
  <c r="M787"/>
  <c r="N787"/>
  <c r="O787"/>
  <c r="Q787"/>
  <c r="R787"/>
  <c r="M788"/>
  <c r="N788"/>
  <c r="O788"/>
  <c r="Q788"/>
  <c r="R788"/>
  <c r="M789"/>
  <c r="N789"/>
  <c r="O789"/>
  <c r="Q789"/>
  <c r="R789"/>
  <c r="M790"/>
  <c r="N790"/>
  <c r="O790"/>
  <c r="Q790"/>
  <c r="R790"/>
  <c r="M791"/>
  <c r="N791"/>
  <c r="O791"/>
  <c r="Q791"/>
  <c r="R791"/>
  <c r="M792"/>
  <c r="N792"/>
  <c r="O792"/>
  <c r="Q792"/>
  <c r="R792"/>
  <c r="M793"/>
  <c r="N793"/>
  <c r="O793"/>
  <c r="Q793"/>
  <c r="R793"/>
  <c r="M794"/>
  <c r="N794"/>
  <c r="O794"/>
  <c r="Q794"/>
  <c r="R794"/>
  <c r="M795"/>
  <c r="N795"/>
  <c r="O795"/>
  <c r="Q795"/>
  <c r="R795"/>
  <c r="M796"/>
  <c r="N796"/>
  <c r="O796"/>
  <c r="Q796"/>
  <c r="R796"/>
  <c r="M797"/>
  <c r="N797"/>
  <c r="O797"/>
  <c r="Q797"/>
  <c r="R797"/>
  <c r="M798"/>
  <c r="N798"/>
  <c r="O798"/>
  <c r="Q798"/>
  <c r="R798"/>
  <c r="M799"/>
  <c r="N799"/>
  <c r="O799"/>
  <c r="Q799"/>
  <c r="R799"/>
  <c r="M800"/>
  <c r="N800"/>
  <c r="O800"/>
  <c r="Q800"/>
  <c r="R800"/>
  <c r="M801"/>
  <c r="N801"/>
  <c r="O801"/>
  <c r="Q801"/>
  <c r="R801"/>
  <c r="M802"/>
  <c r="N802"/>
  <c r="O802"/>
  <c r="Q802"/>
  <c r="R802"/>
  <c r="M803"/>
  <c r="N803"/>
  <c r="O803"/>
  <c r="Q803"/>
  <c r="R803"/>
  <c r="M804"/>
  <c r="N804"/>
  <c r="O804"/>
  <c r="Q804"/>
  <c r="R804"/>
  <c r="M805"/>
  <c r="N805"/>
  <c r="O805"/>
  <c r="Q805"/>
  <c r="R805"/>
  <c r="M806"/>
  <c r="N806"/>
  <c r="O806"/>
  <c r="Q806"/>
  <c r="R806"/>
  <c r="M807"/>
  <c r="N807"/>
  <c r="O807"/>
  <c r="Q807"/>
  <c r="R807"/>
  <c r="M808"/>
  <c r="N808"/>
  <c r="O808"/>
  <c r="Q808"/>
  <c r="R808"/>
  <c r="M809"/>
  <c r="N809"/>
  <c r="O809"/>
  <c r="Q809"/>
  <c r="R809"/>
  <c r="M810"/>
  <c r="N810"/>
  <c r="O810"/>
  <c r="Q810"/>
  <c r="R810"/>
  <c r="M811"/>
  <c r="N811"/>
  <c r="O811"/>
  <c r="Q811"/>
  <c r="R811"/>
  <c r="M812"/>
  <c r="N812"/>
  <c r="O812"/>
  <c r="Q812"/>
  <c r="R812"/>
  <c r="M813"/>
  <c r="N813"/>
  <c r="O813"/>
  <c r="Q813"/>
  <c r="R813"/>
  <c r="M814"/>
  <c r="N814"/>
  <c r="O814"/>
  <c r="Q814"/>
  <c r="R814"/>
  <c r="M815"/>
  <c r="N815"/>
  <c r="O815"/>
  <c r="Q815"/>
  <c r="R815"/>
  <c r="M816"/>
  <c r="N816"/>
  <c r="O816"/>
  <c r="Q816"/>
  <c r="R816"/>
  <c r="M817"/>
  <c r="N817"/>
  <c r="O817"/>
  <c r="Q817"/>
  <c r="R817"/>
  <c r="M818"/>
  <c r="N818"/>
  <c r="O818"/>
  <c r="Q818"/>
  <c r="R818"/>
  <c r="M819"/>
  <c r="N819"/>
  <c r="O819"/>
  <c r="Q819"/>
  <c r="R819"/>
  <c r="M820"/>
  <c r="N820"/>
  <c r="O820"/>
  <c r="Q820"/>
  <c r="R820"/>
  <c r="M821"/>
  <c r="N821"/>
  <c r="O821"/>
  <c r="Q821"/>
  <c r="R821"/>
  <c r="M822"/>
  <c r="N822"/>
  <c r="O822"/>
  <c r="Q822"/>
  <c r="R822"/>
  <c r="M823"/>
  <c r="N823"/>
  <c r="O823"/>
  <c r="Q823"/>
  <c r="R823"/>
  <c r="M824"/>
  <c r="N824"/>
  <c r="O824"/>
  <c r="Q824"/>
  <c r="R824"/>
  <c r="M825"/>
  <c r="N825"/>
  <c r="O825"/>
  <c r="Q825"/>
  <c r="R825"/>
  <c r="M826"/>
  <c r="N826"/>
  <c r="O826"/>
  <c r="Q826"/>
  <c r="R826"/>
  <c r="M827"/>
  <c r="N827"/>
  <c r="O827"/>
  <c r="Q827"/>
  <c r="R827"/>
  <c r="M828"/>
  <c r="N828"/>
  <c r="O828"/>
  <c r="Q828"/>
  <c r="R828"/>
  <c r="M829"/>
  <c r="N829"/>
  <c r="O829"/>
  <c r="Q829"/>
  <c r="R829"/>
  <c r="M830"/>
  <c r="N830"/>
  <c r="O830"/>
  <c r="Q830"/>
  <c r="R830"/>
  <c r="M831"/>
  <c r="N831"/>
  <c r="O831"/>
  <c r="Q831"/>
  <c r="R831"/>
  <c r="M832"/>
  <c r="N832"/>
  <c r="O832"/>
  <c r="Q832"/>
  <c r="R832"/>
  <c r="M833"/>
  <c r="N833"/>
  <c r="O833"/>
  <c r="Q833"/>
  <c r="R833"/>
  <c r="M834"/>
  <c r="N834"/>
  <c r="O834"/>
  <c r="Q834"/>
  <c r="R834"/>
  <c r="M835"/>
  <c r="N835"/>
  <c r="O835"/>
  <c r="Q835"/>
  <c r="R835"/>
  <c r="M836"/>
  <c r="N836"/>
  <c r="O836"/>
  <c r="Q836"/>
  <c r="R836"/>
  <c r="M837"/>
  <c r="N837"/>
  <c r="O837"/>
  <c r="Q837"/>
  <c r="R837"/>
  <c r="M838"/>
  <c r="N838"/>
  <c r="O838"/>
  <c r="Q838"/>
  <c r="R838"/>
  <c r="M839"/>
  <c r="N839"/>
  <c r="O839"/>
  <c r="Q839"/>
  <c r="R839"/>
  <c r="M840"/>
  <c r="N840"/>
  <c r="O840"/>
  <c r="Q840"/>
  <c r="R840"/>
  <c r="M841"/>
  <c r="N841"/>
  <c r="O841"/>
  <c r="Q841"/>
  <c r="R841"/>
  <c r="M842"/>
  <c r="N842"/>
  <c r="O842"/>
  <c r="Q842"/>
  <c r="R842"/>
  <c r="M843"/>
  <c r="N843"/>
  <c r="O843"/>
  <c r="Q843"/>
  <c r="R843"/>
  <c r="M844"/>
  <c r="N844"/>
  <c r="O844"/>
  <c r="Q844"/>
  <c r="R844"/>
  <c r="M845"/>
  <c r="N845"/>
  <c r="O845"/>
  <c r="Q845"/>
  <c r="R845"/>
  <c r="M846"/>
  <c r="N846"/>
  <c r="O846"/>
  <c r="Q846"/>
  <c r="R846"/>
  <c r="M847"/>
  <c r="N847"/>
  <c r="O847"/>
  <c r="Q847"/>
  <c r="R847"/>
  <c r="M848"/>
  <c r="N848"/>
  <c r="O848"/>
  <c r="Q848"/>
  <c r="R848"/>
  <c r="M849"/>
  <c r="N849"/>
  <c r="O849"/>
  <c r="Q849"/>
  <c r="R849"/>
  <c r="M850"/>
  <c r="N850"/>
  <c r="O850"/>
  <c r="Q850"/>
  <c r="R850"/>
  <c r="M851"/>
  <c r="N851"/>
  <c r="O851"/>
  <c r="Q851"/>
  <c r="R851"/>
  <c r="M852"/>
  <c r="N852"/>
  <c r="O852"/>
  <c r="Q852"/>
  <c r="R852"/>
  <c r="M853"/>
  <c r="N853"/>
  <c r="O853"/>
  <c r="Q853"/>
  <c r="R853"/>
  <c r="M854"/>
  <c r="N854"/>
  <c r="O854"/>
  <c r="Q854"/>
  <c r="R854"/>
  <c r="M855"/>
  <c r="N855"/>
  <c r="O855"/>
  <c r="Q855"/>
  <c r="R855"/>
  <c r="M856"/>
  <c r="N856"/>
  <c r="O856"/>
  <c r="Q856"/>
  <c r="R856"/>
  <c r="M857"/>
  <c r="N857"/>
  <c r="O857"/>
  <c r="Q857"/>
  <c r="R857"/>
  <c r="M858"/>
  <c r="N858"/>
  <c r="O858"/>
  <c r="Q858"/>
  <c r="R858"/>
  <c r="M859"/>
  <c r="N859"/>
  <c r="O859"/>
  <c r="Q859"/>
  <c r="R859"/>
  <c r="M860"/>
  <c r="N860"/>
  <c r="O860"/>
  <c r="Q860"/>
  <c r="R860"/>
  <c r="M861"/>
  <c r="N861"/>
  <c r="O861"/>
  <c r="Q861"/>
  <c r="R861"/>
  <c r="M862"/>
  <c r="N862"/>
  <c r="O862"/>
  <c r="Q862"/>
  <c r="R862"/>
  <c r="M863"/>
  <c r="N863"/>
  <c r="O863"/>
  <c r="Q863"/>
  <c r="R863"/>
  <c r="M864"/>
  <c r="N864"/>
  <c r="O864"/>
  <c r="Q864"/>
  <c r="R864"/>
  <c r="M865"/>
  <c r="N865"/>
  <c r="O865"/>
  <c r="Q865"/>
  <c r="R865"/>
  <c r="M866"/>
  <c r="N866"/>
  <c r="O866"/>
  <c r="Q866"/>
  <c r="R866"/>
  <c r="M867"/>
  <c r="N867"/>
  <c r="O867"/>
  <c r="Q867"/>
  <c r="R867"/>
  <c r="M868"/>
  <c r="N868"/>
  <c r="O868"/>
  <c r="Q868"/>
  <c r="R868"/>
  <c r="M869"/>
  <c r="N869"/>
  <c r="O869"/>
  <c r="Q869"/>
  <c r="R869"/>
  <c r="M870"/>
  <c r="N870"/>
  <c r="O870"/>
  <c r="Q870"/>
  <c r="R870"/>
  <c r="M871"/>
  <c r="N871"/>
  <c r="O871"/>
  <c r="Q871"/>
  <c r="R871"/>
  <c r="M872"/>
  <c r="N872"/>
  <c r="O872"/>
  <c r="Q872"/>
  <c r="R872"/>
  <c r="M873"/>
  <c r="N873"/>
  <c r="O873"/>
  <c r="Q873"/>
  <c r="R873"/>
  <c r="M874"/>
  <c r="N874"/>
  <c r="O874"/>
  <c r="Q874"/>
  <c r="R874"/>
  <c r="M875"/>
  <c r="N875"/>
  <c r="O875"/>
  <c r="Q875"/>
  <c r="R875"/>
  <c r="M876"/>
  <c r="N876"/>
  <c r="O876"/>
  <c r="Q876"/>
  <c r="R876"/>
  <c r="M877"/>
  <c r="N877"/>
  <c r="O877"/>
  <c r="Q877"/>
  <c r="R877"/>
  <c r="M878"/>
  <c r="N878"/>
  <c r="O878"/>
  <c r="Q878"/>
  <c r="R878"/>
  <c r="M879"/>
  <c r="N879"/>
  <c r="O879"/>
  <c r="Q879"/>
  <c r="R879"/>
  <c r="M880"/>
  <c r="N880"/>
  <c r="O880"/>
  <c r="Q880"/>
  <c r="R880"/>
  <c r="M881"/>
  <c r="N881"/>
  <c r="O881"/>
  <c r="Q881"/>
  <c r="R881"/>
  <c r="M882"/>
  <c r="N882"/>
  <c r="O882"/>
  <c r="Q882"/>
  <c r="R882"/>
  <c r="M883"/>
  <c r="N883"/>
  <c r="O883"/>
  <c r="Q883"/>
  <c r="R883"/>
  <c r="M884"/>
  <c r="N884"/>
  <c r="O884"/>
  <c r="Q884"/>
  <c r="R884"/>
  <c r="M885"/>
  <c r="N885"/>
  <c r="O885"/>
  <c r="Q885"/>
  <c r="R885"/>
  <c r="M886"/>
  <c r="N886"/>
  <c r="O886"/>
  <c r="Q886"/>
  <c r="R886"/>
  <c r="M887"/>
  <c r="N887"/>
  <c r="O887"/>
  <c r="Q887"/>
  <c r="R887"/>
  <c r="M888"/>
  <c r="N888"/>
  <c r="O888"/>
  <c r="Q888"/>
  <c r="R888"/>
  <c r="M889"/>
  <c r="N889"/>
  <c r="O889"/>
  <c r="Q889"/>
  <c r="R889"/>
  <c r="M890"/>
  <c r="N890"/>
  <c r="O890"/>
  <c r="Q890"/>
  <c r="R890"/>
  <c r="M891"/>
  <c r="N891"/>
  <c r="O891"/>
  <c r="Q891"/>
  <c r="R891"/>
  <c r="M892"/>
  <c r="N892"/>
  <c r="O892"/>
  <c r="Q892"/>
  <c r="R892"/>
  <c r="M893"/>
  <c r="N893"/>
  <c r="O893"/>
  <c r="Q893"/>
  <c r="R893"/>
  <c r="M894"/>
  <c r="N894"/>
  <c r="O894"/>
  <c r="Q894"/>
  <c r="R894"/>
  <c r="M895"/>
  <c r="N895"/>
  <c r="O895"/>
  <c r="Q895"/>
  <c r="R895"/>
  <c r="M896"/>
  <c r="N896"/>
  <c r="O896"/>
  <c r="Q896"/>
  <c r="R896"/>
  <c r="M897"/>
  <c r="N897"/>
  <c r="O897"/>
  <c r="Q897"/>
  <c r="R897"/>
  <c r="M898"/>
  <c r="N898"/>
  <c r="O898"/>
  <c r="Q898"/>
  <c r="R898"/>
  <c r="M899"/>
  <c r="N899"/>
  <c r="O899"/>
  <c r="Q899"/>
  <c r="R899"/>
  <c r="M900"/>
  <c r="N900"/>
  <c r="O900"/>
  <c r="Q900"/>
  <c r="R900"/>
  <c r="M901"/>
  <c r="N901"/>
  <c r="O901"/>
  <c r="Q901"/>
  <c r="R901"/>
  <c r="M902"/>
  <c r="N902"/>
  <c r="O902"/>
  <c r="Q902"/>
  <c r="R902"/>
  <c r="M903"/>
  <c r="N903"/>
  <c r="O903"/>
  <c r="Q903"/>
  <c r="R903"/>
  <c r="M904"/>
  <c r="N904"/>
  <c r="O904"/>
  <c r="Q904"/>
  <c r="R904"/>
  <c r="M905"/>
  <c r="N905"/>
  <c r="O905"/>
  <c r="Q905"/>
  <c r="R905"/>
  <c r="M906"/>
  <c r="N906"/>
  <c r="O906"/>
  <c r="Q906"/>
  <c r="R906"/>
  <c r="M907"/>
  <c r="N907"/>
  <c r="O907"/>
  <c r="Q907"/>
  <c r="R907"/>
  <c r="M908"/>
  <c r="N908"/>
  <c r="O908"/>
  <c r="Q908"/>
  <c r="R908"/>
  <c r="M909"/>
  <c r="N909"/>
  <c r="O909"/>
  <c r="Q909"/>
  <c r="R909"/>
  <c r="M910"/>
  <c r="N910"/>
  <c r="O910"/>
  <c r="Q910"/>
  <c r="R910"/>
  <c r="M911"/>
  <c r="N911"/>
  <c r="O911"/>
  <c r="Q911"/>
  <c r="R911"/>
  <c r="M912"/>
  <c r="N912"/>
  <c r="O912"/>
  <c r="Q912"/>
  <c r="R912"/>
  <c r="M913"/>
  <c r="N913"/>
  <c r="O913"/>
  <c r="Q913"/>
  <c r="R913"/>
  <c r="M914"/>
  <c r="N914"/>
  <c r="O914"/>
  <c r="Q914"/>
  <c r="R914"/>
  <c r="M915"/>
  <c r="N915"/>
  <c r="O915"/>
  <c r="Q915"/>
  <c r="R915"/>
  <c r="M916"/>
  <c r="N916"/>
  <c r="O916"/>
  <c r="Q916"/>
  <c r="R916"/>
  <c r="M917"/>
  <c r="N917"/>
  <c r="O917"/>
  <c r="Q917"/>
  <c r="R917"/>
  <c r="M918"/>
  <c r="N918"/>
  <c r="O918"/>
  <c r="Q918"/>
  <c r="R918"/>
  <c r="M919"/>
  <c r="N919"/>
  <c r="O919"/>
  <c r="Q919"/>
  <c r="R919"/>
  <c r="M920"/>
  <c r="N920"/>
  <c r="O920"/>
  <c r="Q920"/>
  <c r="R920"/>
  <c r="M921"/>
  <c r="N921"/>
  <c r="O921"/>
  <c r="Q921"/>
  <c r="R921"/>
  <c r="M922"/>
  <c r="N922"/>
  <c r="O922"/>
  <c r="Q922"/>
  <c r="R922"/>
  <c r="M923"/>
  <c r="N923"/>
  <c r="O923"/>
  <c r="Q923"/>
  <c r="R923"/>
  <c r="M924"/>
  <c r="N924"/>
  <c r="O924"/>
  <c r="Q924"/>
  <c r="R924"/>
  <c r="M925"/>
  <c r="N925"/>
  <c r="O925"/>
  <c r="Q925"/>
  <c r="R925"/>
  <c r="M926"/>
  <c r="N926"/>
  <c r="O926"/>
  <c r="Q926"/>
  <c r="R926"/>
  <c r="M927"/>
  <c r="N927"/>
  <c r="O927"/>
  <c r="Q927"/>
  <c r="R927"/>
  <c r="M928"/>
  <c r="N928"/>
  <c r="O928"/>
  <c r="Q928"/>
  <c r="R928"/>
  <c r="M929"/>
  <c r="N929"/>
  <c r="O929"/>
  <c r="Q929"/>
  <c r="R929"/>
  <c r="M930"/>
  <c r="N930"/>
  <c r="O930"/>
  <c r="Q930"/>
  <c r="R930"/>
  <c r="M931"/>
  <c r="N931"/>
  <c r="O931"/>
  <c r="Q931"/>
  <c r="R931"/>
  <c r="M932"/>
  <c r="N932"/>
  <c r="O932"/>
  <c r="Q932"/>
  <c r="R932"/>
  <c r="M933"/>
  <c r="N933"/>
  <c r="O933"/>
  <c r="Q933"/>
  <c r="R933"/>
  <c r="M934"/>
  <c r="N934"/>
  <c r="O934"/>
  <c r="Q934"/>
  <c r="R934"/>
  <c r="M935"/>
  <c r="N935"/>
  <c r="O935"/>
  <c r="Q935"/>
  <c r="R935"/>
  <c r="M936"/>
  <c r="N936"/>
  <c r="O936"/>
  <c r="Q936"/>
  <c r="R936"/>
  <c r="M937"/>
  <c r="N937"/>
  <c r="O937"/>
  <c r="Q937"/>
  <c r="R937"/>
  <c r="M938"/>
  <c r="N938"/>
  <c r="O938"/>
  <c r="Q938"/>
  <c r="R938"/>
  <c r="M939"/>
  <c r="N939"/>
  <c r="O939"/>
  <c r="Q939"/>
  <c r="R939"/>
  <c r="M940"/>
  <c r="N940"/>
  <c r="O940"/>
  <c r="Q940"/>
  <c r="R940"/>
  <c r="M941"/>
  <c r="N941"/>
  <c r="O941"/>
  <c r="Q941"/>
  <c r="R941"/>
  <c r="M942"/>
  <c r="N942"/>
  <c r="O942"/>
  <c r="Q942"/>
  <c r="R942"/>
  <c r="M943"/>
  <c r="N943"/>
  <c r="O943"/>
  <c r="Q943"/>
  <c r="R943"/>
  <c r="M944"/>
  <c r="N944"/>
  <c r="O944"/>
  <c r="Q944"/>
  <c r="R944"/>
  <c r="M945"/>
  <c r="N945"/>
  <c r="O945"/>
  <c r="Q945"/>
  <c r="R945"/>
  <c r="M946"/>
  <c r="N946"/>
  <c r="O946"/>
  <c r="Q946"/>
  <c r="R946"/>
  <c r="M947"/>
  <c r="N947"/>
  <c r="O947"/>
  <c r="Q947"/>
  <c r="R947"/>
  <c r="M948"/>
  <c r="N948"/>
  <c r="O948"/>
  <c r="Q948"/>
  <c r="R948"/>
  <c r="M949"/>
  <c r="N949"/>
  <c r="O949"/>
  <c r="Q949"/>
  <c r="R949"/>
  <c r="M950"/>
  <c r="N950"/>
  <c r="O950"/>
  <c r="Q950"/>
  <c r="R950"/>
  <c r="M951"/>
  <c r="N951"/>
  <c r="O951"/>
  <c r="Q951"/>
  <c r="R951"/>
  <c r="M952"/>
  <c r="N952"/>
  <c r="O952"/>
  <c r="Q952"/>
  <c r="R952"/>
  <c r="M953"/>
  <c r="N953"/>
  <c r="O953"/>
  <c r="Q953"/>
  <c r="R953"/>
  <c r="M954"/>
  <c r="N954"/>
  <c r="O954"/>
  <c r="Q954"/>
  <c r="R954"/>
  <c r="M955"/>
  <c r="N955"/>
  <c r="O955"/>
  <c r="Q955"/>
  <c r="R955"/>
  <c r="M956"/>
  <c r="N956"/>
  <c r="O956"/>
  <c r="Q956"/>
  <c r="R956"/>
  <c r="M957"/>
  <c r="N957"/>
  <c r="O957"/>
  <c r="Q957"/>
  <c r="R957"/>
  <c r="M958"/>
  <c r="N958"/>
  <c r="O958"/>
  <c r="Q958"/>
  <c r="R958"/>
  <c r="M959"/>
  <c r="N959"/>
  <c r="O959"/>
  <c r="Q959"/>
  <c r="R959"/>
  <c r="M960"/>
  <c r="N960"/>
  <c r="O960"/>
  <c r="Q960"/>
  <c r="R960"/>
  <c r="M961"/>
  <c r="N961"/>
  <c r="O961"/>
  <c r="Q961"/>
  <c r="R961"/>
  <c r="M962"/>
  <c r="N962"/>
  <c r="O962"/>
  <c r="Q962"/>
  <c r="R962"/>
  <c r="M963"/>
  <c r="N963"/>
  <c r="O963"/>
  <c r="Q963"/>
  <c r="R963"/>
  <c r="M964"/>
  <c r="N964"/>
  <c r="O964"/>
  <c r="Q964"/>
  <c r="R964"/>
  <c r="M965"/>
  <c r="N965"/>
  <c r="O965"/>
  <c r="Q965"/>
  <c r="R965"/>
  <c r="M966"/>
  <c r="N966"/>
  <c r="O966"/>
  <c r="Q966"/>
  <c r="R966"/>
  <c r="M967"/>
  <c r="N967"/>
  <c r="O967"/>
  <c r="Q967"/>
  <c r="J967" s="1"/>
  <c r="R967"/>
  <c r="I967" s="1"/>
  <c r="M968"/>
  <c r="N968"/>
  <c r="O968"/>
  <c r="Q968"/>
  <c r="R968"/>
  <c r="M969"/>
  <c r="N969"/>
  <c r="O969"/>
  <c r="Q969"/>
  <c r="R969"/>
  <c r="O2"/>
  <c r="M2"/>
  <c r="N2"/>
  <c r="I19" i="2"/>
  <c r="J19"/>
  <c r="L19"/>
  <c r="AG19"/>
  <c r="AI19"/>
  <c r="P19" i="7" l="1"/>
  <c r="K395"/>
  <c r="K396"/>
  <c r="AE19" i="2"/>
  <c r="AB19"/>
  <c r="K394" i="7"/>
  <c r="J168"/>
  <c r="K536"/>
  <c r="K537"/>
  <c r="J756"/>
  <c r="K576"/>
  <c r="K572"/>
  <c r="K504"/>
  <c r="P215"/>
  <c r="P195"/>
  <c r="K466"/>
  <c r="K446"/>
  <c r="J800"/>
  <c r="J748"/>
  <c r="J744"/>
  <c r="J724"/>
  <c r="K522"/>
  <c r="K510"/>
  <c r="K502"/>
  <c r="K490"/>
  <c r="K478"/>
  <c r="P723"/>
  <c r="P703"/>
  <c r="J696"/>
  <c r="J676"/>
  <c r="P675"/>
  <c r="K664"/>
  <c r="P655"/>
  <c r="K640"/>
  <c r="K628"/>
  <c r="P527"/>
  <c r="K516"/>
  <c r="K480"/>
  <c r="K424"/>
  <c r="K416"/>
  <c r="P343"/>
  <c r="P941"/>
  <c r="J938"/>
  <c r="P933"/>
  <c r="J930"/>
  <c r="P925"/>
  <c r="J914"/>
  <c r="P893"/>
  <c r="J886"/>
  <c r="J826"/>
  <c r="J754"/>
  <c r="J734"/>
  <c r="P733"/>
  <c r="P721"/>
  <c r="K646"/>
  <c r="K594"/>
  <c r="P221"/>
  <c r="J130"/>
  <c r="P129"/>
  <c r="J126"/>
  <c r="J106"/>
  <c r="J98"/>
  <c r="P97"/>
  <c r="J936"/>
  <c r="P923"/>
  <c r="J872"/>
  <c r="J128"/>
  <c r="J969"/>
  <c r="J933"/>
  <c r="P932"/>
  <c r="J925"/>
  <c r="P924"/>
  <c r="J917"/>
  <c r="J893"/>
  <c r="J793"/>
  <c r="P784"/>
  <c r="J717"/>
  <c r="J697"/>
  <c r="J693"/>
  <c r="J689"/>
  <c r="P688"/>
  <c r="J681"/>
  <c r="J673"/>
  <c r="K613"/>
  <c r="K565"/>
  <c r="K541"/>
  <c r="K513"/>
  <c r="K437"/>
  <c r="K429"/>
  <c r="P248"/>
  <c r="P216"/>
  <c r="J169"/>
  <c r="P168"/>
  <c r="J153"/>
  <c r="J129"/>
  <c r="J109"/>
  <c r="J101"/>
  <c r="J53"/>
  <c r="J33"/>
  <c r="J21"/>
  <c r="J9"/>
  <c r="J30"/>
  <c r="J955"/>
  <c r="J927"/>
  <c r="P926"/>
  <c r="J923"/>
  <c r="J903"/>
  <c r="J883"/>
  <c r="J875"/>
  <c r="P790"/>
  <c r="J779"/>
  <c r="P766"/>
  <c r="J731"/>
  <c r="J711"/>
  <c r="P710"/>
  <c r="J699"/>
  <c r="P698"/>
  <c r="K659"/>
  <c r="K643"/>
  <c r="K559"/>
  <c r="K547"/>
  <c r="K543"/>
  <c r="K519"/>
  <c r="K463"/>
  <c r="K439"/>
  <c r="K431"/>
  <c r="K419"/>
  <c r="P222"/>
  <c r="J195"/>
  <c r="P174"/>
  <c r="J151"/>
  <c r="J19"/>
  <c r="J7"/>
  <c r="S94"/>
  <c r="P966"/>
  <c r="P963"/>
  <c r="J960"/>
  <c r="J911"/>
  <c r="P910"/>
  <c r="J866"/>
  <c r="J865"/>
  <c r="J863"/>
  <c r="J861"/>
  <c r="P861"/>
  <c r="P860"/>
  <c r="J815"/>
  <c r="J813"/>
  <c r="P813"/>
  <c r="P812"/>
  <c r="J804"/>
  <c r="P791"/>
  <c r="J776"/>
  <c r="J712"/>
  <c r="J708"/>
  <c r="P707"/>
  <c r="P700"/>
  <c r="J671"/>
  <c r="J669"/>
  <c r="K651"/>
  <c r="K648"/>
  <c r="K632"/>
  <c r="K625"/>
  <c r="P624"/>
  <c r="K610"/>
  <c r="K607"/>
  <c r="K603"/>
  <c r="P602"/>
  <c r="K581"/>
  <c r="K556"/>
  <c r="K497"/>
  <c r="P497"/>
  <c r="K456"/>
  <c r="K417"/>
  <c r="K414"/>
  <c r="K411"/>
  <c r="K405"/>
  <c r="K403"/>
  <c r="P314"/>
  <c r="P234"/>
  <c r="J160"/>
  <c r="J145"/>
  <c r="J91"/>
  <c r="J65"/>
  <c r="P64"/>
  <c r="S61"/>
  <c r="P57"/>
  <c r="J49"/>
  <c r="J10"/>
  <c r="J945"/>
  <c r="P944"/>
  <c r="J941"/>
  <c r="J901"/>
  <c r="J898"/>
  <c r="J895"/>
  <c r="J851"/>
  <c r="J777"/>
  <c r="J762"/>
  <c r="J760"/>
  <c r="J747"/>
  <c r="J739"/>
  <c r="J736"/>
  <c r="P730"/>
  <c r="J723"/>
  <c r="J709"/>
  <c r="J705"/>
  <c r="J692"/>
  <c r="P691"/>
  <c r="P682"/>
  <c r="J679"/>
  <c r="K666"/>
  <c r="K663"/>
  <c r="P657"/>
  <c r="K655"/>
  <c r="K575"/>
  <c r="K533"/>
  <c r="K521"/>
  <c r="K506"/>
  <c r="K495"/>
  <c r="K486"/>
  <c r="P481"/>
  <c r="K468"/>
  <c r="K454"/>
  <c r="K451"/>
  <c r="K401"/>
  <c r="P399"/>
  <c r="K397"/>
  <c r="P397"/>
  <c r="K392"/>
  <c r="P263"/>
  <c r="P244"/>
  <c r="P227"/>
  <c r="J177"/>
  <c r="J157"/>
  <c r="J138"/>
  <c r="J136"/>
  <c r="J86"/>
  <c r="J62"/>
  <c r="J60"/>
  <c r="J58"/>
  <c r="P58"/>
  <c r="J41"/>
  <c r="J39"/>
  <c r="P39"/>
  <c r="J36"/>
  <c r="P956"/>
  <c r="P953"/>
  <c r="J947"/>
  <c r="J939"/>
  <c r="J880"/>
  <c r="J846"/>
  <c r="J843"/>
  <c r="J830"/>
  <c r="J958"/>
  <c r="J954"/>
  <c r="J953"/>
  <c r="J948"/>
  <c r="J937"/>
  <c r="P937"/>
  <c r="J874"/>
  <c r="J871"/>
  <c r="J869"/>
  <c r="P869"/>
  <c r="P868"/>
  <c r="J840"/>
  <c r="J751"/>
  <c r="J741"/>
  <c r="J729"/>
  <c r="P728"/>
  <c r="J920"/>
  <c r="J913"/>
  <c r="J910"/>
  <c r="P892"/>
  <c r="J841"/>
  <c r="P820"/>
  <c r="J772"/>
  <c r="J749"/>
  <c r="J726"/>
  <c r="P637"/>
  <c r="K634"/>
  <c r="K615"/>
  <c r="K582"/>
  <c r="K579"/>
  <c r="K577"/>
  <c r="K564"/>
  <c r="K545"/>
  <c r="K540"/>
  <c r="K535"/>
  <c r="K532"/>
  <c r="K530"/>
  <c r="K529"/>
  <c r="P528"/>
  <c r="K524"/>
  <c r="P514"/>
  <c r="K512"/>
  <c r="P506"/>
  <c r="K499"/>
  <c r="K494"/>
  <c r="K488"/>
  <c r="K476"/>
  <c r="K472"/>
  <c r="K470"/>
  <c r="K440"/>
  <c r="K423"/>
  <c r="K409"/>
  <c r="K398"/>
  <c r="P273"/>
  <c r="P229"/>
  <c r="S179"/>
  <c r="J154"/>
  <c r="P143"/>
  <c r="J115"/>
  <c r="P110"/>
  <c r="J108"/>
  <c r="P108"/>
  <c r="J70"/>
  <c r="P70"/>
  <c r="J38"/>
  <c r="P32"/>
  <c r="J28"/>
  <c r="S27"/>
  <c r="J26"/>
  <c r="P26"/>
  <c r="P23"/>
  <c r="J22"/>
  <c r="J20"/>
  <c r="J6"/>
  <c r="P17"/>
  <c r="J931"/>
  <c r="J915"/>
  <c r="J908"/>
  <c r="P907"/>
  <c r="J904"/>
  <c r="J878"/>
  <c r="J873"/>
  <c r="J854"/>
  <c r="J848"/>
  <c r="J842"/>
  <c r="J839"/>
  <c r="J837"/>
  <c r="P837"/>
  <c r="P836"/>
  <c r="J827"/>
  <c r="J825"/>
  <c r="J822"/>
  <c r="J819"/>
  <c r="J816"/>
  <c r="J810"/>
  <c r="J809"/>
  <c r="J807"/>
  <c r="J805"/>
  <c r="P798"/>
  <c r="J794"/>
  <c r="P794"/>
  <c r="J792"/>
  <c r="J788"/>
  <c r="J778"/>
  <c r="J770"/>
  <c r="J767"/>
  <c r="J765"/>
  <c r="P765"/>
  <c r="P764"/>
  <c r="J761"/>
  <c r="P758"/>
  <c r="J730"/>
  <c r="J728"/>
  <c r="P725"/>
  <c r="J718"/>
  <c r="J716"/>
  <c r="J701"/>
  <c r="J687"/>
  <c r="P684"/>
  <c r="J682"/>
  <c r="P681"/>
  <c r="J678"/>
  <c r="J675"/>
  <c r="J667"/>
  <c r="K665"/>
  <c r="K660"/>
  <c r="K657"/>
  <c r="K653"/>
  <c r="K644"/>
  <c r="P640"/>
  <c r="K626"/>
  <c r="K622"/>
  <c r="K620"/>
  <c r="K601"/>
  <c r="K587"/>
  <c r="K584"/>
  <c r="K573"/>
  <c r="K570"/>
  <c r="K567"/>
  <c r="K557"/>
  <c r="K548"/>
  <c r="K544"/>
  <c r="K542"/>
  <c r="K531"/>
  <c r="P530"/>
  <c r="K528"/>
  <c r="K520"/>
  <c r="K517"/>
  <c r="K511"/>
  <c r="K503"/>
  <c r="K498"/>
  <c r="K496"/>
  <c r="P495"/>
  <c r="K489"/>
  <c r="P473"/>
  <c r="K449"/>
  <c r="K447"/>
  <c r="K445"/>
  <c r="K443"/>
  <c r="K442"/>
  <c r="K438"/>
  <c r="K436"/>
  <c r="K435"/>
  <c r="K427"/>
  <c r="K426"/>
  <c r="K422"/>
  <c r="K420"/>
  <c r="K402"/>
  <c r="K400"/>
  <c r="K399"/>
  <c r="K389"/>
  <c r="K387"/>
  <c r="P378"/>
  <c r="P210"/>
  <c r="P209"/>
  <c r="J192"/>
  <c r="P192"/>
  <c r="J190"/>
  <c r="J182"/>
  <c r="P166"/>
  <c r="S161"/>
  <c r="J135"/>
  <c r="P135"/>
  <c r="P124"/>
  <c r="J117"/>
  <c r="S113"/>
  <c r="P113"/>
  <c r="J102"/>
  <c r="J80"/>
  <c r="J75"/>
  <c r="P75"/>
  <c r="P69"/>
  <c r="J54"/>
  <c r="P41"/>
  <c r="P25"/>
  <c r="J23"/>
  <c r="J15"/>
  <c r="J11"/>
  <c r="P10"/>
  <c r="P5"/>
  <c r="S966"/>
  <c r="J966"/>
  <c r="S944"/>
  <c r="J944"/>
  <c r="S935"/>
  <c r="J935"/>
  <c r="S932"/>
  <c r="J932"/>
  <c r="S952"/>
  <c r="J952"/>
  <c r="S949"/>
  <c r="J949"/>
  <c r="S942"/>
  <c r="J942"/>
  <c r="S884"/>
  <c r="J884"/>
  <c r="S852"/>
  <c r="J852"/>
  <c r="S791"/>
  <c r="J791"/>
  <c r="S790"/>
  <c r="J790"/>
  <c r="J968"/>
  <c r="J965"/>
  <c r="P964"/>
  <c r="J963"/>
  <c r="P961"/>
  <c r="P958"/>
  <c r="P948"/>
  <c r="J934"/>
  <c r="J929"/>
  <c r="J928"/>
  <c r="J922"/>
  <c r="J918"/>
  <c r="J912"/>
  <c r="J907"/>
  <c r="J905"/>
  <c r="J899"/>
  <c r="J896"/>
  <c r="J890"/>
  <c r="J889"/>
  <c r="J887"/>
  <c r="J885"/>
  <c r="P885"/>
  <c r="P884"/>
  <c r="J870"/>
  <c r="J867"/>
  <c r="J864"/>
  <c r="J858"/>
  <c r="J857"/>
  <c r="J855"/>
  <c r="J853"/>
  <c r="P853"/>
  <c r="P852"/>
  <c r="J838"/>
  <c r="J835"/>
  <c r="J823"/>
  <c r="J821"/>
  <c r="J818"/>
  <c r="J803"/>
  <c r="J795"/>
  <c r="J786"/>
  <c r="J783"/>
  <c r="J775"/>
  <c r="J773"/>
  <c r="P759"/>
  <c r="J757"/>
  <c r="P756"/>
  <c r="P752"/>
  <c r="J738"/>
  <c r="P732"/>
  <c r="J719"/>
  <c r="P717"/>
  <c r="S836"/>
  <c r="J836"/>
  <c r="S820"/>
  <c r="J820"/>
  <c r="S964"/>
  <c r="J964"/>
  <c r="S951"/>
  <c r="J951"/>
  <c r="S924"/>
  <c r="J924"/>
  <c r="S959"/>
  <c r="J959"/>
  <c r="S956"/>
  <c r="J956"/>
  <c r="S940"/>
  <c r="J940"/>
  <c r="S876"/>
  <c r="J876"/>
  <c r="S844"/>
  <c r="J844"/>
  <c r="S801"/>
  <c r="J801"/>
  <c r="S758"/>
  <c r="J758"/>
  <c r="S710"/>
  <c r="J710"/>
  <c r="S700"/>
  <c r="J700"/>
  <c r="S695"/>
  <c r="J695"/>
  <c r="S631"/>
  <c r="K631"/>
  <c r="S550"/>
  <c r="K550"/>
  <c r="P2"/>
  <c r="P968"/>
  <c r="J962"/>
  <c r="J961"/>
  <c r="P955"/>
  <c r="J950"/>
  <c r="P949"/>
  <c r="J946"/>
  <c r="J943"/>
  <c r="P939"/>
  <c r="P934"/>
  <c r="P931"/>
  <c r="J926"/>
  <c r="J921"/>
  <c r="J919"/>
  <c r="P918"/>
  <c r="J916"/>
  <c r="P915"/>
  <c r="J909"/>
  <c r="J906"/>
  <c r="J902"/>
  <c r="J900"/>
  <c r="J897"/>
  <c r="J894"/>
  <c r="J891"/>
  <c r="J888"/>
  <c r="J882"/>
  <c r="J881"/>
  <c r="J879"/>
  <c r="J877"/>
  <c r="P877"/>
  <c r="P876"/>
  <c r="J862"/>
  <c r="J859"/>
  <c r="J856"/>
  <c r="J850"/>
  <c r="J849"/>
  <c r="J847"/>
  <c r="J845"/>
  <c r="P845"/>
  <c r="P844"/>
  <c r="J832"/>
  <c r="J824"/>
  <c r="P821"/>
  <c r="J817"/>
  <c r="J806"/>
  <c r="J798"/>
  <c r="J787"/>
  <c r="J785"/>
  <c r="J780"/>
  <c r="J771"/>
  <c r="J766"/>
  <c r="J750"/>
  <c r="J742"/>
  <c r="J735"/>
  <c r="J733"/>
  <c r="J713"/>
  <c r="J707"/>
  <c r="J702"/>
  <c r="S868"/>
  <c r="J868"/>
  <c r="S812"/>
  <c r="J812"/>
  <c r="S784"/>
  <c r="J784"/>
  <c r="S769"/>
  <c r="J769"/>
  <c r="S684"/>
  <c r="J684"/>
  <c r="S957"/>
  <c r="J957"/>
  <c r="S892"/>
  <c r="J892"/>
  <c r="S860"/>
  <c r="J860"/>
  <c r="S764"/>
  <c r="J764"/>
  <c r="S759"/>
  <c r="J759"/>
  <c r="S752"/>
  <c r="J752"/>
  <c r="S732"/>
  <c r="J732"/>
  <c r="S698"/>
  <c r="J698"/>
  <c r="S828"/>
  <c r="J828"/>
  <c r="S796"/>
  <c r="J796"/>
  <c r="S737"/>
  <c r="J737"/>
  <c r="S720"/>
  <c r="J720"/>
  <c r="S690"/>
  <c r="J690"/>
  <c r="S639"/>
  <c r="K639"/>
  <c r="S635"/>
  <c r="K635"/>
  <c r="S618"/>
  <c r="K618"/>
  <c r="S599"/>
  <c r="K599"/>
  <c r="S588"/>
  <c r="K588"/>
  <c r="S552"/>
  <c r="K552"/>
  <c r="S538"/>
  <c r="K538"/>
  <c r="S527"/>
  <c r="K527"/>
  <c r="S525"/>
  <c r="K525"/>
  <c r="S507"/>
  <c r="K507"/>
  <c r="S501"/>
  <c r="K501"/>
  <c r="S491"/>
  <c r="K491"/>
  <c r="S459"/>
  <c r="K459"/>
  <c r="S458"/>
  <c r="K458"/>
  <c r="S433"/>
  <c r="K433"/>
  <c r="S412"/>
  <c r="K412"/>
  <c r="J834"/>
  <c r="J833"/>
  <c r="J831"/>
  <c r="J829"/>
  <c r="P829"/>
  <c r="P828"/>
  <c r="J814"/>
  <c r="J811"/>
  <c r="J808"/>
  <c r="J802"/>
  <c r="J799"/>
  <c r="J797"/>
  <c r="P797"/>
  <c r="P796"/>
  <c r="J789"/>
  <c r="P788"/>
  <c r="J782"/>
  <c r="J781"/>
  <c r="J774"/>
  <c r="J768"/>
  <c r="J763"/>
  <c r="P762"/>
  <c r="J755"/>
  <c r="J753"/>
  <c r="J746"/>
  <c r="J745"/>
  <c r="J743"/>
  <c r="J740"/>
  <c r="P734"/>
  <c r="J727"/>
  <c r="J725"/>
  <c r="J722"/>
  <c r="J721"/>
  <c r="P719"/>
  <c r="J715"/>
  <c r="P712"/>
  <c r="J706"/>
  <c r="P704"/>
  <c r="J703"/>
  <c r="P701"/>
  <c r="J694"/>
  <c r="J683"/>
  <c r="J680"/>
  <c r="J677"/>
  <c r="J674"/>
  <c r="K662"/>
  <c r="K658"/>
  <c r="K652"/>
  <c r="K650"/>
  <c r="K642"/>
  <c r="P641"/>
  <c r="P639"/>
  <c r="K630"/>
  <c r="P629"/>
  <c r="K623"/>
  <c r="K614"/>
  <c r="K611"/>
  <c r="K609"/>
  <c r="P608"/>
  <c r="P605"/>
  <c r="P598"/>
  <c r="K596"/>
  <c r="K593"/>
  <c r="K591"/>
  <c r="P590"/>
  <c r="K586"/>
  <c r="P585"/>
  <c r="K571"/>
  <c r="K568"/>
  <c r="K563"/>
  <c r="K560"/>
  <c r="K555"/>
  <c r="P484"/>
  <c r="K479"/>
  <c r="K471"/>
  <c r="K452"/>
  <c r="K450"/>
  <c r="K448"/>
  <c r="K444"/>
  <c r="K441"/>
  <c r="K415"/>
  <c r="K408"/>
  <c r="K406"/>
  <c r="K404"/>
  <c r="K393"/>
  <c r="K390"/>
  <c r="P363"/>
  <c r="P330"/>
  <c r="S688"/>
  <c r="J688"/>
  <c r="S686"/>
  <c r="J686"/>
  <c r="S672"/>
  <c r="J672"/>
  <c r="S670"/>
  <c r="J670"/>
  <c r="S668"/>
  <c r="J668"/>
  <c r="S654"/>
  <c r="K654"/>
  <c r="S645"/>
  <c r="K645"/>
  <c r="S627"/>
  <c r="K627"/>
  <c r="S604"/>
  <c r="K604"/>
  <c r="S595"/>
  <c r="K595"/>
  <c r="S580"/>
  <c r="K580"/>
  <c r="S536"/>
  <c r="S523"/>
  <c r="K523"/>
  <c r="S515"/>
  <c r="K515"/>
  <c r="S500"/>
  <c r="K500"/>
  <c r="S477"/>
  <c r="K477"/>
  <c r="J691"/>
  <c r="P687"/>
  <c r="P686"/>
  <c r="P680"/>
  <c r="P671"/>
  <c r="P670"/>
  <c r="P665"/>
  <c r="P662"/>
  <c r="K661"/>
  <c r="K656"/>
  <c r="K647"/>
  <c r="K641"/>
  <c r="K638"/>
  <c r="K637"/>
  <c r="K636"/>
  <c r="K633"/>
  <c r="K629"/>
  <c r="K624"/>
  <c r="K621"/>
  <c r="K619"/>
  <c r="P618"/>
  <c r="K617"/>
  <c r="K616"/>
  <c r="P616"/>
  <c r="K612"/>
  <c r="K606"/>
  <c r="K605"/>
  <c r="P604"/>
  <c r="K602"/>
  <c r="K600"/>
  <c r="K598"/>
  <c r="K597"/>
  <c r="P596"/>
  <c r="P595"/>
  <c r="K592"/>
  <c r="K590"/>
  <c r="K589"/>
  <c r="K585"/>
  <c r="K583"/>
  <c r="P582"/>
  <c r="K578"/>
  <c r="P577"/>
  <c r="K574"/>
  <c r="K569"/>
  <c r="K566"/>
  <c r="K561"/>
  <c r="K558"/>
  <c r="K553"/>
  <c r="K551"/>
  <c r="K549"/>
  <c r="K546"/>
  <c r="K539"/>
  <c r="K526"/>
  <c r="K518"/>
  <c r="K514"/>
  <c r="K508"/>
  <c r="K505"/>
  <c r="P500"/>
  <c r="K492"/>
  <c r="K487"/>
  <c r="K485"/>
  <c r="K481"/>
  <c r="K473"/>
  <c r="K469"/>
  <c r="K467"/>
  <c r="K465"/>
  <c r="K464"/>
  <c r="K462"/>
  <c r="K460"/>
  <c r="K457"/>
  <c r="K455"/>
  <c r="K453"/>
  <c r="K434"/>
  <c r="K432"/>
  <c r="K430"/>
  <c r="K428"/>
  <c r="K425"/>
  <c r="P423"/>
  <c r="K421"/>
  <c r="K418"/>
  <c r="K413"/>
  <c r="K410"/>
  <c r="K407"/>
  <c r="K391"/>
  <c r="K388"/>
  <c r="P357"/>
  <c r="P356"/>
  <c r="P338"/>
  <c r="P295"/>
  <c r="P267"/>
  <c r="S483"/>
  <c r="K483"/>
  <c r="S475"/>
  <c r="K475"/>
  <c r="P319"/>
  <c r="S714"/>
  <c r="J714"/>
  <c r="S704"/>
  <c r="J704"/>
  <c r="S685"/>
  <c r="J685"/>
  <c r="S649"/>
  <c r="K649"/>
  <c r="S608"/>
  <c r="K608"/>
  <c r="S562"/>
  <c r="K562"/>
  <c r="S554"/>
  <c r="K554"/>
  <c r="S534"/>
  <c r="K534"/>
  <c r="S509"/>
  <c r="K509"/>
  <c r="S493"/>
  <c r="K493"/>
  <c r="S484"/>
  <c r="K484"/>
  <c r="S482"/>
  <c r="K482"/>
  <c r="S474"/>
  <c r="K474"/>
  <c r="S461"/>
  <c r="K461"/>
  <c r="J3"/>
  <c r="S186"/>
  <c r="S185"/>
  <c r="S177"/>
  <c r="S172"/>
  <c r="P303"/>
  <c r="P247"/>
  <c r="P207"/>
  <c r="J198"/>
  <c r="J194"/>
  <c r="J184"/>
  <c r="S180"/>
  <c r="J178"/>
  <c r="J165"/>
  <c r="J158"/>
  <c r="J156"/>
  <c r="J149"/>
  <c r="J146"/>
  <c r="J142"/>
  <c r="J134"/>
  <c r="J125"/>
  <c r="J122"/>
  <c r="S121"/>
  <c r="P121"/>
  <c r="J114"/>
  <c r="J104"/>
  <c r="P91"/>
  <c r="J90"/>
  <c r="P84"/>
  <c r="J81"/>
  <c r="P49"/>
  <c r="J47"/>
  <c r="P24"/>
  <c r="P15"/>
  <c r="J14"/>
  <c r="P7"/>
  <c r="P260"/>
  <c r="P236"/>
  <c r="J197"/>
  <c r="J181"/>
  <c r="P176"/>
  <c r="J173"/>
  <c r="J170"/>
  <c r="S163"/>
  <c r="P163"/>
  <c r="J155"/>
  <c r="P155"/>
  <c r="J150"/>
  <c r="J148"/>
  <c r="P148"/>
  <c r="P146"/>
  <c r="J143"/>
  <c r="S142"/>
  <c r="J140"/>
  <c r="J137"/>
  <c r="J133"/>
  <c r="J131"/>
  <c r="J123"/>
  <c r="P122"/>
  <c r="S120"/>
  <c r="J113"/>
  <c r="P107"/>
  <c r="J105"/>
  <c r="P100"/>
  <c r="J97"/>
  <c r="J95"/>
  <c r="J89"/>
  <c r="P88"/>
  <c r="J85"/>
  <c r="P81"/>
  <c r="P73"/>
  <c r="P63"/>
  <c r="J57"/>
  <c r="J52"/>
  <c r="P50"/>
  <c r="P47"/>
  <c r="J46"/>
  <c r="P40"/>
  <c r="J37"/>
  <c r="P34"/>
  <c r="P31"/>
  <c r="S29"/>
  <c r="A64" i="2"/>
  <c r="AH64"/>
  <c r="S391" i="7"/>
  <c r="S358"/>
  <c r="J358"/>
  <c r="S356"/>
  <c r="J356"/>
  <c r="S331"/>
  <c r="J331"/>
  <c r="S329"/>
  <c r="J329"/>
  <c r="S267"/>
  <c r="J267"/>
  <c r="S209"/>
  <c r="J209"/>
  <c r="S206"/>
  <c r="J206"/>
  <c r="S203"/>
  <c r="J203"/>
  <c r="S88"/>
  <c r="J88"/>
  <c r="S64"/>
  <c r="J64"/>
  <c r="P969"/>
  <c r="S967"/>
  <c r="S965"/>
  <c r="S960"/>
  <c r="P957"/>
  <c r="P952"/>
  <c r="S950"/>
  <c r="P942"/>
  <c r="P940"/>
  <c r="S936"/>
  <c r="P917"/>
  <c r="S916"/>
  <c r="P916"/>
  <c r="P909"/>
  <c r="S908"/>
  <c r="P908"/>
  <c r="P902"/>
  <c r="P899"/>
  <c r="S808"/>
  <c r="S803"/>
  <c r="P793"/>
  <c r="P789"/>
  <c r="S776"/>
  <c r="S771"/>
  <c r="P761"/>
  <c r="P757"/>
  <c r="S744"/>
  <c r="S739"/>
  <c r="S729"/>
  <c r="S727"/>
  <c r="P727"/>
  <c r="S726"/>
  <c r="P726"/>
  <c r="P720"/>
  <c r="S716"/>
  <c r="P716"/>
  <c r="P714"/>
  <c r="S711"/>
  <c r="S709"/>
  <c r="P706"/>
  <c r="P699"/>
  <c r="S696"/>
  <c r="P693"/>
  <c r="P690"/>
  <c r="P685"/>
  <c r="P683"/>
  <c r="S679"/>
  <c r="S674"/>
  <c r="P672"/>
  <c r="S669"/>
  <c r="P668"/>
  <c r="P663"/>
  <c r="S660"/>
  <c r="P659"/>
  <c r="S658"/>
  <c r="P658"/>
  <c r="S656"/>
  <c r="P654"/>
  <c r="P652"/>
  <c r="S644"/>
  <c r="P643"/>
  <c r="S642"/>
  <c r="P642"/>
  <c r="P633"/>
  <c r="P631"/>
  <c r="P622"/>
  <c r="S612"/>
  <c r="P611"/>
  <c r="S610"/>
  <c r="P610"/>
  <c r="S603"/>
  <c r="P601"/>
  <c r="S597"/>
  <c r="S589"/>
  <c r="P588"/>
  <c r="S587"/>
  <c r="P587"/>
  <c r="P580"/>
  <c r="S579"/>
  <c r="P579"/>
  <c r="P574"/>
  <c r="S572"/>
  <c r="P569"/>
  <c r="P566"/>
  <c r="P564"/>
  <c r="S563"/>
  <c r="P563"/>
  <c r="P558"/>
  <c r="S556"/>
  <c r="P553"/>
  <c r="P549"/>
  <c r="P546"/>
  <c r="P544"/>
  <c r="S543"/>
  <c r="P543"/>
  <c r="P540"/>
  <c r="S539"/>
  <c r="P539"/>
  <c r="P533"/>
  <c r="P521"/>
  <c r="P519"/>
  <c r="P489"/>
  <c r="P487"/>
  <c r="P465"/>
  <c r="S450"/>
  <c r="P450"/>
  <c r="P436"/>
  <c r="S431"/>
  <c r="P292"/>
  <c r="P270"/>
  <c r="P240"/>
  <c r="S190"/>
  <c r="J189"/>
  <c r="J175"/>
  <c r="J166"/>
  <c r="J121"/>
  <c r="S118"/>
  <c r="J69"/>
  <c r="S398"/>
  <c r="S397"/>
  <c r="S379"/>
  <c r="J379"/>
  <c r="S377"/>
  <c r="J377"/>
  <c r="S359"/>
  <c r="J359"/>
  <c r="S339"/>
  <c r="J339"/>
  <c r="S337"/>
  <c r="J337"/>
  <c r="S315"/>
  <c r="J315"/>
  <c r="S269"/>
  <c r="J269"/>
  <c r="S230"/>
  <c r="J230"/>
  <c r="S226"/>
  <c r="J226"/>
  <c r="S223"/>
  <c r="J223"/>
  <c r="S221"/>
  <c r="J221"/>
  <c r="S220"/>
  <c r="J220"/>
  <c r="S216"/>
  <c r="J216"/>
  <c r="S110"/>
  <c r="J110"/>
  <c r="S72"/>
  <c r="J72"/>
  <c r="S968"/>
  <c r="P965"/>
  <c r="P960"/>
  <c r="S958"/>
  <c r="P950"/>
  <c r="S948"/>
  <c r="P947"/>
  <c r="P945"/>
  <c r="S943"/>
  <c r="S941"/>
  <c r="P936"/>
  <c r="S934"/>
  <c r="P901"/>
  <c r="S900"/>
  <c r="P900"/>
  <c r="P894"/>
  <c r="P891"/>
  <c r="P886"/>
  <c r="P883"/>
  <c r="P878"/>
  <c r="P875"/>
  <c r="P870"/>
  <c r="P867"/>
  <c r="P862"/>
  <c r="P859"/>
  <c r="P854"/>
  <c r="P851"/>
  <c r="P846"/>
  <c r="P843"/>
  <c r="P838"/>
  <c r="P835"/>
  <c r="P830"/>
  <c r="P827"/>
  <c r="P822"/>
  <c r="P819"/>
  <c r="P814"/>
  <c r="P811"/>
  <c r="P808"/>
  <c r="P803"/>
  <c r="S802"/>
  <c r="P802"/>
  <c r="P785"/>
  <c r="P783"/>
  <c r="S779"/>
  <c r="P779"/>
  <c r="P776"/>
  <c r="P771"/>
  <c r="S770"/>
  <c r="P770"/>
  <c r="P753"/>
  <c r="P751"/>
  <c r="S747"/>
  <c r="P747"/>
  <c r="P744"/>
  <c r="P739"/>
  <c r="S738"/>
  <c r="P738"/>
  <c r="P729"/>
  <c r="S725"/>
  <c r="P722"/>
  <c r="P715"/>
  <c r="S712"/>
  <c r="P709"/>
  <c r="P705"/>
  <c r="P696"/>
  <c r="S682"/>
  <c r="P677"/>
  <c r="P674"/>
  <c r="P669"/>
  <c r="P667"/>
  <c r="S662"/>
  <c r="P660"/>
  <c r="S657"/>
  <c r="P656"/>
  <c r="P653"/>
  <c r="S651"/>
  <c r="S648"/>
  <c r="P647"/>
  <c r="S646"/>
  <c r="P646"/>
  <c r="P644"/>
  <c r="P625"/>
  <c r="P621"/>
  <c r="S613"/>
  <c r="P612"/>
  <c r="P609"/>
  <c r="P603"/>
  <c r="S594"/>
  <c r="S586"/>
  <c r="S573"/>
  <c r="P572"/>
  <c r="S571"/>
  <c r="P571"/>
  <c r="S565"/>
  <c r="S557"/>
  <c r="P556"/>
  <c r="S555"/>
  <c r="P555"/>
  <c r="S545"/>
  <c r="S541"/>
  <c r="P534"/>
  <c r="P522"/>
  <c r="S516"/>
  <c r="P516"/>
  <c r="P513"/>
  <c r="S508"/>
  <c r="P508"/>
  <c r="P505"/>
  <c r="P503"/>
  <c r="S499"/>
  <c r="S498"/>
  <c r="P490"/>
  <c r="S370"/>
  <c r="J370"/>
  <c r="S368"/>
  <c r="J368"/>
  <c r="S365"/>
  <c r="J365"/>
  <c r="S347"/>
  <c r="J347"/>
  <c r="S345"/>
  <c r="J345"/>
  <c r="S313"/>
  <c r="J313"/>
  <c r="S307"/>
  <c r="J307"/>
  <c r="S289"/>
  <c r="J289"/>
  <c r="S271"/>
  <c r="J271"/>
  <c r="S268"/>
  <c r="J268"/>
  <c r="S266"/>
  <c r="J266"/>
  <c r="S249"/>
  <c r="J249"/>
  <c r="S247"/>
  <c r="J247"/>
  <c r="S246"/>
  <c r="J246"/>
  <c r="S233"/>
  <c r="J233"/>
  <c r="S77"/>
  <c r="J77"/>
  <c r="S469"/>
  <c r="S467"/>
  <c r="S466"/>
  <c r="P447"/>
  <c r="S446"/>
  <c r="S445"/>
  <c r="P445"/>
  <c r="S438"/>
  <c r="S408"/>
  <c r="P408"/>
  <c r="S405"/>
  <c r="P405"/>
  <c r="P369"/>
  <c r="P368"/>
  <c r="P366"/>
  <c r="P346"/>
  <c r="P327"/>
  <c r="P306"/>
  <c r="P289"/>
  <c r="P280"/>
  <c r="P259"/>
  <c r="J193"/>
  <c r="P188"/>
  <c r="J186"/>
  <c r="J185"/>
  <c r="J162"/>
  <c r="S402"/>
  <c r="S390"/>
  <c r="S388"/>
  <c r="S323"/>
  <c r="J323"/>
  <c r="S321"/>
  <c r="J321"/>
  <c r="S305"/>
  <c r="J305"/>
  <c r="S279"/>
  <c r="J279"/>
  <c r="S273"/>
  <c r="J273"/>
  <c r="S265"/>
  <c r="J265"/>
  <c r="S240"/>
  <c r="J240"/>
  <c r="S617"/>
  <c r="P457"/>
  <c r="S456"/>
  <c r="P456"/>
  <c r="S453"/>
  <c r="P453"/>
  <c r="P428"/>
  <c r="P425"/>
  <c r="S419"/>
  <c r="S411"/>
  <c r="P402"/>
  <c r="P395"/>
  <c r="P389"/>
  <c r="P388"/>
  <c r="P375"/>
  <c r="P335"/>
  <c r="P322"/>
  <c r="P268"/>
  <c r="P252"/>
  <c r="P233"/>
  <c r="P224"/>
  <c r="S182"/>
  <c r="P182"/>
  <c r="J174"/>
  <c r="S173"/>
  <c r="P173"/>
  <c r="J163"/>
  <c r="J161"/>
  <c r="J141"/>
  <c r="J118"/>
  <c r="J73"/>
  <c r="S112"/>
  <c r="J112"/>
  <c r="S48"/>
  <c r="J48"/>
  <c r="S16"/>
  <c r="J16"/>
  <c r="S8"/>
  <c r="J8"/>
  <c r="S4"/>
  <c r="J4"/>
  <c r="P311"/>
  <c r="S299"/>
  <c r="P298"/>
  <c r="S297"/>
  <c r="P286"/>
  <c r="S285"/>
  <c r="S284"/>
  <c r="P284"/>
  <c r="S283"/>
  <c r="P283"/>
  <c r="P279"/>
  <c r="P276"/>
  <c r="S275"/>
  <c r="P275"/>
  <c r="P257"/>
  <c r="S254"/>
  <c r="P239"/>
  <c r="S231"/>
  <c r="P212"/>
  <c r="S204"/>
  <c r="P203"/>
  <c r="S200"/>
  <c r="P200"/>
  <c r="S198"/>
  <c r="P198"/>
  <c r="J191"/>
  <c r="J187"/>
  <c r="P184"/>
  <c r="J183"/>
  <c r="J171"/>
  <c r="P171"/>
  <c r="S169"/>
  <c r="J167"/>
  <c r="P160"/>
  <c r="J159"/>
  <c r="S157"/>
  <c r="P157"/>
  <c r="S156"/>
  <c r="S154"/>
  <c r="P150"/>
  <c r="J147"/>
  <c r="P140"/>
  <c r="J139"/>
  <c r="S137"/>
  <c r="P137"/>
  <c r="S136"/>
  <c r="S134"/>
  <c r="P130"/>
  <c r="J127"/>
  <c r="J119"/>
  <c r="P119"/>
  <c r="J116"/>
  <c r="S115"/>
  <c r="P115"/>
  <c r="P104"/>
  <c r="J99"/>
  <c r="P94"/>
  <c r="S93"/>
  <c r="J92"/>
  <c r="P92"/>
  <c r="J87"/>
  <c r="P87"/>
  <c r="P85"/>
  <c r="J83"/>
  <c r="P78"/>
  <c r="J76"/>
  <c r="P68"/>
  <c r="J66"/>
  <c r="P56"/>
  <c r="S45"/>
  <c r="S18"/>
  <c r="J27"/>
  <c r="J94"/>
  <c r="J61"/>
  <c r="J45"/>
  <c r="J29"/>
  <c r="J254"/>
  <c r="S199"/>
  <c r="J199"/>
  <c r="S100"/>
  <c r="J100"/>
  <c r="S96"/>
  <c r="J96"/>
  <c r="S84"/>
  <c r="J84"/>
  <c r="S43"/>
  <c r="J43"/>
  <c r="S40"/>
  <c r="J40"/>
  <c r="S35"/>
  <c r="J35"/>
  <c r="S34"/>
  <c r="J34"/>
  <c r="S13"/>
  <c r="J13"/>
  <c r="P197"/>
  <c r="J196"/>
  <c r="P191"/>
  <c r="J188"/>
  <c r="S187"/>
  <c r="P187"/>
  <c r="S181"/>
  <c r="P181"/>
  <c r="J180"/>
  <c r="J179"/>
  <c r="P179"/>
  <c r="J176"/>
  <c r="J172"/>
  <c r="S165"/>
  <c r="P165"/>
  <c r="J164"/>
  <c r="P158"/>
  <c r="J152"/>
  <c r="P152"/>
  <c r="S145"/>
  <c r="P145"/>
  <c r="J144"/>
  <c r="P138"/>
  <c r="J132"/>
  <c r="P132"/>
  <c r="S127"/>
  <c r="P127"/>
  <c r="J124"/>
  <c r="J120"/>
  <c r="P116"/>
  <c r="J111"/>
  <c r="J107"/>
  <c r="J103"/>
  <c r="P103"/>
  <c r="P99"/>
  <c r="P89"/>
  <c r="P83"/>
  <c r="J82"/>
  <c r="P76"/>
  <c r="J74"/>
  <c r="J67"/>
  <c r="P67"/>
  <c r="P65"/>
  <c r="J63"/>
  <c r="J55"/>
  <c r="P55"/>
  <c r="P48"/>
  <c r="J44"/>
  <c r="J42"/>
  <c r="P42"/>
  <c r="P33"/>
  <c r="J31"/>
  <c r="J25"/>
  <c r="P22"/>
  <c r="P18"/>
  <c r="P16"/>
  <c r="P8"/>
  <c r="J18"/>
  <c r="J93"/>
  <c r="J297"/>
  <c r="J285"/>
  <c r="S32"/>
  <c r="J32"/>
  <c r="J17"/>
  <c r="P13"/>
  <c r="J12"/>
  <c r="S11"/>
  <c r="J5"/>
  <c r="J284"/>
  <c r="J204"/>
  <c r="J200"/>
  <c r="S79"/>
  <c r="J79"/>
  <c r="S78"/>
  <c r="J78"/>
  <c r="S71"/>
  <c r="J71"/>
  <c r="S68"/>
  <c r="J68"/>
  <c r="S59"/>
  <c r="J59"/>
  <c r="S56"/>
  <c r="J56"/>
  <c r="S51"/>
  <c r="J51"/>
  <c r="S50"/>
  <c r="J50"/>
  <c r="S24"/>
  <c r="J24"/>
  <c r="S143"/>
  <c r="S129"/>
  <c r="S126"/>
  <c r="S109"/>
  <c r="J299"/>
  <c r="J283"/>
  <c r="J275"/>
  <c r="J231"/>
  <c r="S10"/>
  <c r="P9"/>
  <c r="P4"/>
  <c r="S3"/>
  <c r="P3"/>
  <c r="S963"/>
  <c r="S954"/>
  <c r="S946"/>
  <c r="S939"/>
  <c r="S931"/>
  <c r="S929"/>
  <c r="S923"/>
  <c r="S915"/>
  <c r="S914"/>
  <c r="S913"/>
  <c r="S907"/>
  <c r="S898"/>
  <c r="S897"/>
  <c r="S891"/>
  <c r="S890"/>
  <c r="S889"/>
  <c r="S883"/>
  <c r="S882"/>
  <c r="S881"/>
  <c r="S875"/>
  <c r="S874"/>
  <c r="S873"/>
  <c r="S867"/>
  <c r="S866"/>
  <c r="S865"/>
  <c r="S859"/>
  <c r="S858"/>
  <c r="S857"/>
  <c r="S851"/>
  <c r="S850"/>
  <c r="S849"/>
  <c r="S843"/>
  <c r="S842"/>
  <c r="S841"/>
  <c r="S835"/>
  <c r="S834"/>
  <c r="S833"/>
  <c r="S827"/>
  <c r="S826"/>
  <c r="S825"/>
  <c r="S819"/>
  <c r="S818"/>
  <c r="S817"/>
  <c r="S811"/>
  <c r="S809"/>
  <c r="S805"/>
  <c r="S794"/>
  <c r="S788"/>
  <c r="S783"/>
  <c r="S782"/>
  <c r="S781"/>
  <c r="S777"/>
  <c r="S773"/>
  <c r="S762"/>
  <c r="S756"/>
  <c r="S751"/>
  <c r="S750"/>
  <c r="S749"/>
  <c r="S745"/>
  <c r="S741"/>
  <c r="S730"/>
  <c r="S719"/>
  <c r="S718"/>
  <c r="S717"/>
  <c r="S703"/>
  <c r="S702"/>
  <c r="S701"/>
  <c r="S693"/>
  <c r="S692"/>
  <c r="S687"/>
  <c r="S677"/>
  <c r="S676"/>
  <c r="S671"/>
  <c r="S666"/>
  <c r="S665"/>
  <c r="S664"/>
  <c r="S659"/>
  <c r="S641"/>
  <c r="S638"/>
  <c r="S630"/>
  <c r="S623"/>
  <c r="S622"/>
  <c r="S619"/>
  <c r="S611"/>
  <c r="S607"/>
  <c r="S605"/>
  <c r="S570"/>
  <c r="S514"/>
  <c r="S969"/>
  <c r="S962"/>
  <c r="S961"/>
  <c r="S955"/>
  <c r="S953"/>
  <c r="S947"/>
  <c r="S945"/>
  <c r="S938"/>
  <c r="S937"/>
  <c r="S930"/>
  <c r="S922"/>
  <c r="S921"/>
  <c r="S906"/>
  <c r="S905"/>
  <c r="S899"/>
  <c r="P967"/>
  <c r="P962"/>
  <c r="P959"/>
  <c r="P954"/>
  <c r="P951"/>
  <c r="P946"/>
  <c r="P943"/>
  <c r="P938"/>
  <c r="P935"/>
  <c r="P930"/>
  <c r="P927"/>
  <c r="P922"/>
  <c r="P919"/>
  <c r="P914"/>
  <c r="P911"/>
  <c r="P906"/>
  <c r="P903"/>
  <c r="P898"/>
  <c r="P895"/>
  <c r="P890"/>
  <c r="P887"/>
  <c r="P882"/>
  <c r="P879"/>
  <c r="P874"/>
  <c r="P871"/>
  <c r="P866"/>
  <c r="P863"/>
  <c r="P858"/>
  <c r="P855"/>
  <c r="P850"/>
  <c r="P847"/>
  <c r="P842"/>
  <c r="P839"/>
  <c r="P834"/>
  <c r="P831"/>
  <c r="P826"/>
  <c r="P823"/>
  <c r="P818"/>
  <c r="P815"/>
  <c r="P810"/>
  <c r="S807"/>
  <c r="P807"/>
  <c r="S806"/>
  <c r="P806"/>
  <c r="P804"/>
  <c r="P801"/>
  <c r="P799"/>
  <c r="S795"/>
  <c r="P795"/>
  <c r="S792"/>
  <c r="S787"/>
  <c r="S785"/>
  <c r="P782"/>
  <c r="P778"/>
  <c r="S775"/>
  <c r="P775"/>
  <c r="S774"/>
  <c r="P774"/>
  <c r="P772"/>
  <c r="P769"/>
  <c r="P767"/>
  <c r="S763"/>
  <c r="P763"/>
  <c r="S760"/>
  <c r="S755"/>
  <c r="S753"/>
  <c r="P750"/>
  <c r="P746"/>
  <c r="S743"/>
  <c r="P743"/>
  <c r="S742"/>
  <c r="P742"/>
  <c r="P740"/>
  <c r="P737"/>
  <c r="P735"/>
  <c r="S731"/>
  <c r="P731"/>
  <c r="S728"/>
  <c r="S724"/>
  <c r="P724"/>
  <c r="S723"/>
  <c r="S722"/>
  <c r="S721"/>
  <c r="P718"/>
  <c r="P713"/>
  <c r="P711"/>
  <c r="S708"/>
  <c r="P708"/>
  <c r="S707"/>
  <c r="S706"/>
  <c r="S705"/>
  <c r="P702"/>
  <c r="P697"/>
  <c r="P695"/>
  <c r="S694"/>
  <c r="P694"/>
  <c r="P692"/>
  <c r="S691"/>
  <c r="P689"/>
  <c r="S681"/>
  <c r="S680"/>
  <c r="P679"/>
  <c r="S678"/>
  <c r="P678"/>
  <c r="P676"/>
  <c r="S675"/>
  <c r="P673"/>
  <c r="P666"/>
  <c r="P664"/>
  <c r="S663"/>
  <c r="P661"/>
  <c r="S653"/>
  <c r="S652"/>
  <c r="P649"/>
  <c r="S643"/>
  <c r="S640"/>
  <c r="P638"/>
  <c r="P636"/>
  <c r="S633"/>
  <c r="S632"/>
  <c r="P630"/>
  <c r="P628"/>
  <c r="S625"/>
  <c r="S624"/>
  <c r="P619"/>
  <c r="P613"/>
  <c r="P607"/>
  <c r="S606"/>
  <c r="S600"/>
  <c r="P600"/>
  <c r="S596"/>
  <c r="P593"/>
  <c r="S581"/>
  <c r="S578"/>
  <c r="S564"/>
  <c r="P561"/>
  <c r="P550"/>
  <c r="S540"/>
  <c r="P537"/>
  <c r="S529"/>
  <c r="S524"/>
  <c r="P524"/>
  <c r="S517"/>
  <c r="P511"/>
  <c r="S506"/>
  <c r="P498"/>
  <c r="S492"/>
  <c r="P492"/>
  <c r="S485"/>
  <c r="S933"/>
  <c r="P929"/>
  <c r="S928"/>
  <c r="P928"/>
  <c r="S927"/>
  <c r="S926"/>
  <c r="S925"/>
  <c r="P921"/>
  <c r="S920"/>
  <c r="P920"/>
  <c r="S919"/>
  <c r="S918"/>
  <c r="S917"/>
  <c r="P913"/>
  <c r="S912"/>
  <c r="P912"/>
  <c r="S911"/>
  <c r="S910"/>
  <c r="S909"/>
  <c r="P905"/>
  <c r="S904"/>
  <c r="P904"/>
  <c r="S903"/>
  <c r="S902"/>
  <c r="S901"/>
  <c r="P897"/>
  <c r="S896"/>
  <c r="P896"/>
  <c r="S895"/>
  <c r="S894"/>
  <c r="S893"/>
  <c r="P889"/>
  <c r="S888"/>
  <c r="P888"/>
  <c r="S887"/>
  <c r="S886"/>
  <c r="S885"/>
  <c r="P881"/>
  <c r="S880"/>
  <c r="P880"/>
  <c r="S879"/>
  <c r="S878"/>
  <c r="S877"/>
  <c r="P873"/>
  <c r="S872"/>
  <c r="P872"/>
  <c r="S871"/>
  <c r="S870"/>
  <c r="S869"/>
  <c r="P865"/>
  <c r="S864"/>
  <c r="P864"/>
  <c r="S863"/>
  <c r="S862"/>
  <c r="S861"/>
  <c r="P857"/>
  <c r="S856"/>
  <c r="P856"/>
  <c r="S855"/>
  <c r="S854"/>
  <c r="S853"/>
  <c r="P849"/>
  <c r="S848"/>
  <c r="P848"/>
  <c r="S847"/>
  <c r="S846"/>
  <c r="S845"/>
  <c r="P841"/>
  <c r="S840"/>
  <c r="P840"/>
  <c r="S839"/>
  <c r="S838"/>
  <c r="S837"/>
  <c r="P833"/>
  <c r="S832"/>
  <c r="P832"/>
  <c r="S831"/>
  <c r="S830"/>
  <c r="S829"/>
  <c r="P825"/>
  <c r="S824"/>
  <c r="P824"/>
  <c r="S823"/>
  <c r="S822"/>
  <c r="S821"/>
  <c r="P817"/>
  <c r="S816"/>
  <c r="P816"/>
  <c r="S815"/>
  <c r="S814"/>
  <c r="S813"/>
  <c r="S810"/>
  <c r="P809"/>
  <c r="P805"/>
  <c r="S804"/>
  <c r="S800"/>
  <c r="P800"/>
  <c r="S799"/>
  <c r="S798"/>
  <c r="S797"/>
  <c r="S793"/>
  <c r="P792"/>
  <c r="S789"/>
  <c r="P787"/>
  <c r="S786"/>
  <c r="P786"/>
  <c r="P781"/>
  <c r="S780"/>
  <c r="P780"/>
  <c r="S778"/>
  <c r="P777"/>
  <c r="P773"/>
  <c r="S772"/>
  <c r="S768"/>
  <c r="P768"/>
  <c r="S767"/>
  <c r="S766"/>
  <c r="S765"/>
  <c r="S761"/>
  <c r="P760"/>
  <c r="S757"/>
  <c r="P755"/>
  <c r="S754"/>
  <c r="P754"/>
  <c r="P749"/>
  <c r="S748"/>
  <c r="P748"/>
  <c r="S746"/>
  <c r="P745"/>
  <c r="P741"/>
  <c r="S740"/>
  <c r="S736"/>
  <c r="P736"/>
  <c r="S735"/>
  <c r="S734"/>
  <c r="S733"/>
  <c r="S715"/>
  <c r="S713"/>
  <c r="S699"/>
  <c r="S697"/>
  <c r="S689"/>
  <c r="S683"/>
  <c r="S673"/>
  <c r="S667"/>
  <c r="S661"/>
  <c r="S655"/>
  <c r="S621"/>
  <c r="S609"/>
  <c r="S522"/>
  <c r="S490"/>
  <c r="P651"/>
  <c r="S650"/>
  <c r="P650"/>
  <c r="P648"/>
  <c r="S647"/>
  <c r="P645"/>
  <c r="S637"/>
  <c r="S636"/>
  <c r="P635"/>
  <c r="S634"/>
  <c r="P634"/>
  <c r="P632"/>
  <c r="S629"/>
  <c r="S628"/>
  <c r="P627"/>
  <c r="S626"/>
  <c r="P626"/>
  <c r="P623"/>
  <c r="S620"/>
  <c r="P620"/>
  <c r="P617"/>
  <c r="S616"/>
  <c r="S615"/>
  <c r="P615"/>
  <c r="S614"/>
  <c r="P614"/>
  <c r="P606"/>
  <c r="S602"/>
  <c r="S601"/>
  <c r="S598"/>
  <c r="P597"/>
  <c r="S593"/>
  <c r="S592"/>
  <c r="S590"/>
  <c r="P589"/>
  <c r="S585"/>
  <c r="S584"/>
  <c r="S582"/>
  <c r="P581"/>
  <c r="S577"/>
  <c r="S576"/>
  <c r="S574"/>
  <c r="P573"/>
  <c r="S569"/>
  <c r="S568"/>
  <c r="S566"/>
  <c r="P565"/>
  <c r="S561"/>
  <c r="S560"/>
  <c r="S558"/>
  <c r="P557"/>
  <c r="S553"/>
  <c r="P552"/>
  <c r="S551"/>
  <c r="P551"/>
  <c r="S548"/>
  <c r="S546"/>
  <c r="P545"/>
  <c r="P542"/>
  <c r="S537"/>
  <c r="P536"/>
  <c r="S535"/>
  <c r="P535"/>
  <c r="S532"/>
  <c r="S530"/>
  <c r="P529"/>
  <c r="P526"/>
  <c r="P523"/>
  <c r="S520"/>
  <c r="P520"/>
  <c r="P518"/>
  <c r="P515"/>
  <c r="S512"/>
  <c r="P512"/>
  <c r="P510"/>
  <c r="P507"/>
  <c r="S504"/>
  <c r="P504"/>
  <c r="P502"/>
  <c r="P499"/>
  <c r="S496"/>
  <c r="P496"/>
  <c r="P494"/>
  <c r="P491"/>
  <c r="S488"/>
  <c r="P488"/>
  <c r="P486"/>
  <c r="P483"/>
  <c r="S480"/>
  <c r="P480"/>
  <c r="P478"/>
  <c r="P475"/>
  <c r="S472"/>
  <c r="P472"/>
  <c r="P470"/>
  <c r="P467"/>
  <c r="S464"/>
  <c r="P464"/>
  <c r="P462"/>
  <c r="P459"/>
  <c r="P455"/>
  <c r="S451"/>
  <c r="S444"/>
  <c r="S443"/>
  <c r="S439"/>
  <c r="P438"/>
  <c r="S436"/>
  <c r="P435"/>
  <c r="P433"/>
  <c r="S432"/>
  <c r="P432"/>
  <c r="P430"/>
  <c r="P427"/>
  <c r="S426"/>
  <c r="P426"/>
  <c r="S425"/>
  <c r="S422"/>
  <c r="P420"/>
  <c r="S417"/>
  <c r="S415"/>
  <c r="P412"/>
  <c r="P409"/>
  <c r="P407"/>
  <c r="S403"/>
  <c r="P393"/>
  <c r="S392"/>
  <c r="P392"/>
  <c r="P390"/>
  <c r="S389"/>
  <c r="P387"/>
  <c r="S383"/>
  <c r="S382"/>
  <c r="P381"/>
  <c r="S380"/>
  <c r="P380"/>
  <c r="S371"/>
  <c r="P370"/>
  <c r="S369"/>
  <c r="P367"/>
  <c r="S362"/>
  <c r="P361"/>
  <c r="S360"/>
  <c r="P360"/>
  <c r="P358"/>
  <c r="S357"/>
  <c r="P355"/>
  <c r="S351"/>
  <c r="S350"/>
  <c r="P349"/>
  <c r="S348"/>
  <c r="P348"/>
  <c r="S342"/>
  <c r="P341"/>
  <c r="S340"/>
  <c r="P340"/>
  <c r="S334"/>
  <c r="P333"/>
  <c r="S332"/>
  <c r="P332"/>
  <c r="S326"/>
  <c r="P325"/>
  <c r="S324"/>
  <c r="P324"/>
  <c r="S318"/>
  <c r="P317"/>
  <c r="S316"/>
  <c r="P316"/>
  <c r="S310"/>
  <c r="P309"/>
  <c r="S308"/>
  <c r="P308"/>
  <c r="S302"/>
  <c r="P301"/>
  <c r="S300"/>
  <c r="P300"/>
  <c r="S294"/>
  <c r="P293"/>
  <c r="S290"/>
  <c r="S288"/>
  <c r="P288"/>
  <c r="P282"/>
  <c r="P274"/>
  <c r="P271"/>
  <c r="S270"/>
  <c r="P265"/>
  <c r="P262"/>
  <c r="S261"/>
  <c r="P261"/>
  <c r="S256"/>
  <c r="P256"/>
  <c r="P254"/>
  <c r="S251"/>
  <c r="S244"/>
  <c r="S232"/>
  <c r="P232"/>
  <c r="S228"/>
  <c r="P223"/>
  <c r="S222"/>
  <c r="S208"/>
  <c r="P208"/>
  <c r="P204"/>
  <c r="S196"/>
  <c r="P599"/>
  <c r="P594"/>
  <c r="P592"/>
  <c r="S591"/>
  <c r="P591"/>
  <c r="P586"/>
  <c r="P584"/>
  <c r="S583"/>
  <c r="P583"/>
  <c r="P578"/>
  <c r="P576"/>
  <c r="S575"/>
  <c r="P575"/>
  <c r="P570"/>
  <c r="P568"/>
  <c r="S567"/>
  <c r="P567"/>
  <c r="P562"/>
  <c r="P560"/>
  <c r="S559"/>
  <c r="P559"/>
  <c r="P554"/>
  <c r="S549"/>
  <c r="P548"/>
  <c r="S547"/>
  <c r="P547"/>
  <c r="S544"/>
  <c r="S542"/>
  <c r="P541"/>
  <c r="P538"/>
  <c r="S533"/>
  <c r="P532"/>
  <c r="S531"/>
  <c r="P531"/>
  <c r="S528"/>
  <c r="S526"/>
  <c r="P525"/>
  <c r="S521"/>
  <c r="S519"/>
  <c r="S518"/>
  <c r="P517"/>
  <c r="S513"/>
  <c r="S511"/>
  <c r="S510"/>
  <c r="P509"/>
  <c r="S505"/>
  <c r="S503"/>
  <c r="S502"/>
  <c r="P501"/>
  <c r="S497"/>
  <c r="S495"/>
  <c r="S494"/>
  <c r="P493"/>
  <c r="S489"/>
  <c r="S487"/>
  <c r="S486"/>
  <c r="P485"/>
  <c r="S481"/>
  <c r="S479"/>
  <c r="S478"/>
  <c r="P477"/>
  <c r="S473"/>
  <c r="S471"/>
  <c r="S470"/>
  <c r="P469"/>
  <c r="S465"/>
  <c r="S463"/>
  <c r="S462"/>
  <c r="P461"/>
  <c r="S457"/>
  <c r="S454"/>
  <c r="P452"/>
  <c r="S449"/>
  <c r="S447"/>
  <c r="P444"/>
  <c r="P441"/>
  <c r="S440"/>
  <c r="P440"/>
  <c r="S437"/>
  <c r="P437"/>
  <c r="S434"/>
  <c r="P434"/>
  <c r="P431"/>
  <c r="S430"/>
  <c r="S429"/>
  <c r="P429"/>
  <c r="S423"/>
  <c r="P422"/>
  <c r="S420"/>
  <c r="P419"/>
  <c r="P417"/>
  <c r="S416"/>
  <c r="P416"/>
  <c r="P414"/>
  <c r="P411"/>
  <c r="S410"/>
  <c r="P410"/>
  <c r="S409"/>
  <c r="S406"/>
  <c r="P404"/>
  <c r="S401"/>
  <c r="S399"/>
  <c r="S395"/>
  <c r="S394"/>
  <c r="P394"/>
  <c r="S393"/>
  <c r="P391"/>
  <c r="S386"/>
  <c r="P385"/>
  <c r="S384"/>
  <c r="P384"/>
  <c r="P382"/>
  <c r="S381"/>
  <c r="P379"/>
  <c r="S375"/>
  <c r="S374"/>
  <c r="P373"/>
  <c r="S372"/>
  <c r="P372"/>
  <c r="S363"/>
  <c r="P362"/>
  <c r="S361"/>
  <c r="P359"/>
  <c r="S354"/>
  <c r="P353"/>
  <c r="S352"/>
  <c r="P352"/>
  <c r="P350"/>
  <c r="S349"/>
  <c r="P347"/>
  <c r="S343"/>
  <c r="P342"/>
  <c r="S341"/>
  <c r="P339"/>
  <c r="S335"/>
  <c r="P334"/>
  <c r="S333"/>
  <c r="P331"/>
  <c r="S327"/>
  <c r="P326"/>
  <c r="S325"/>
  <c r="P323"/>
  <c r="S319"/>
  <c r="P318"/>
  <c r="S317"/>
  <c r="P315"/>
  <c r="S311"/>
  <c r="P310"/>
  <c r="S309"/>
  <c r="P307"/>
  <c r="S303"/>
  <c r="P302"/>
  <c r="S301"/>
  <c r="P299"/>
  <c r="S295"/>
  <c r="P294"/>
  <c r="S293"/>
  <c r="P291"/>
  <c r="S287"/>
  <c r="S286"/>
  <c r="S281"/>
  <c r="S278"/>
  <c r="S264"/>
  <c r="P264"/>
  <c r="S255"/>
  <c r="S253"/>
  <c r="P251"/>
  <c r="S243"/>
  <c r="P243"/>
  <c r="S239"/>
  <c r="P230"/>
  <c r="P219"/>
  <c r="S215"/>
  <c r="P482"/>
  <c r="P479"/>
  <c r="S476"/>
  <c r="P476"/>
  <c r="P474"/>
  <c r="P471"/>
  <c r="S468"/>
  <c r="P468"/>
  <c r="P466"/>
  <c r="P463"/>
  <c r="S460"/>
  <c r="P460"/>
  <c r="P458"/>
  <c r="S455"/>
  <c r="P454"/>
  <c r="S452"/>
  <c r="P451"/>
  <c r="P449"/>
  <c r="S448"/>
  <c r="P448"/>
  <c r="P446"/>
  <c r="P443"/>
  <c r="S442"/>
  <c r="P442"/>
  <c r="S441"/>
  <c r="P439"/>
  <c r="S435"/>
  <c r="S428"/>
  <c r="S427"/>
  <c r="S424"/>
  <c r="P424"/>
  <c r="S421"/>
  <c r="P421"/>
  <c r="S418"/>
  <c r="P418"/>
  <c r="P415"/>
  <c r="S414"/>
  <c r="S413"/>
  <c r="P413"/>
  <c r="S407"/>
  <c r="P406"/>
  <c r="S404"/>
  <c r="P403"/>
  <c r="P401"/>
  <c r="S400"/>
  <c r="P400"/>
  <c r="P398"/>
  <c r="S396"/>
  <c r="P396"/>
  <c r="S387"/>
  <c r="P386"/>
  <c r="S385"/>
  <c r="P383"/>
  <c r="S378"/>
  <c r="P377"/>
  <c r="S376"/>
  <c r="P376"/>
  <c r="P374"/>
  <c r="S373"/>
  <c r="P371"/>
  <c r="S367"/>
  <c r="S366"/>
  <c r="P365"/>
  <c r="S364"/>
  <c r="P364"/>
  <c r="S355"/>
  <c r="P354"/>
  <c r="S353"/>
  <c r="P351"/>
  <c r="S346"/>
  <c r="P345"/>
  <c r="S344"/>
  <c r="P344"/>
  <c r="S338"/>
  <c r="P337"/>
  <c r="S336"/>
  <c r="P336"/>
  <c r="S330"/>
  <c r="P329"/>
  <c r="S328"/>
  <c r="P328"/>
  <c r="S322"/>
  <c r="P321"/>
  <c r="S320"/>
  <c r="P320"/>
  <c r="S314"/>
  <c r="P313"/>
  <c r="S312"/>
  <c r="P312"/>
  <c r="S306"/>
  <c r="P305"/>
  <c r="S304"/>
  <c r="P304"/>
  <c r="S298"/>
  <c r="P297"/>
  <c r="S296"/>
  <c r="P296"/>
  <c r="S292"/>
  <c r="S291"/>
  <c r="P290"/>
  <c r="P287"/>
  <c r="P285"/>
  <c r="S282"/>
  <c r="S276"/>
  <c r="P269"/>
  <c r="S263"/>
  <c r="S258"/>
  <c r="S257"/>
  <c r="S252"/>
  <c r="P250"/>
  <c r="P242"/>
  <c r="S241"/>
  <c r="P241"/>
  <c r="S238"/>
  <c r="P235"/>
  <c r="S229"/>
  <c r="S227"/>
  <c r="P220"/>
  <c r="P218"/>
  <c r="S217"/>
  <c r="P217"/>
  <c r="S214"/>
  <c r="P211"/>
  <c r="S207"/>
  <c r="S171"/>
  <c r="S164"/>
  <c r="S155"/>
  <c r="S144"/>
  <c r="S135"/>
  <c r="S128"/>
  <c r="S119"/>
  <c r="S114"/>
  <c r="S101"/>
  <c r="S80"/>
  <c r="S70"/>
  <c r="S58"/>
  <c r="S53"/>
  <c r="S42"/>
  <c r="S37"/>
  <c r="S26"/>
  <c r="S21"/>
  <c r="S19"/>
  <c r="P281"/>
  <c r="S280"/>
  <c r="P278"/>
  <c r="S277"/>
  <c r="P277"/>
  <c r="S274"/>
  <c r="S272"/>
  <c r="P272"/>
  <c r="P266"/>
  <c r="S262"/>
  <c r="S260"/>
  <c r="S259"/>
  <c r="P258"/>
  <c r="P255"/>
  <c r="P253"/>
  <c r="S250"/>
  <c r="P249"/>
  <c r="S248"/>
  <c r="P246"/>
  <c r="S245"/>
  <c r="P245"/>
  <c r="S242"/>
  <c r="P238"/>
  <c r="S237"/>
  <c r="P237"/>
  <c r="S236"/>
  <c r="S235"/>
  <c r="S234"/>
  <c r="P231"/>
  <c r="P228"/>
  <c r="P226"/>
  <c r="S225"/>
  <c r="P225"/>
  <c r="S224"/>
  <c r="S219"/>
  <c r="S218"/>
  <c r="P214"/>
  <c r="S213"/>
  <c r="P213"/>
  <c r="S212"/>
  <c r="S211"/>
  <c r="S210"/>
  <c r="P206"/>
  <c r="S205"/>
  <c r="P205"/>
  <c r="S202"/>
  <c r="P202"/>
  <c r="S201"/>
  <c r="P201"/>
  <c r="P199"/>
  <c r="S197"/>
  <c r="P196"/>
  <c r="P194"/>
  <c r="S191"/>
  <c r="P190"/>
  <c r="S189"/>
  <c r="S183"/>
  <c r="P180"/>
  <c r="S175"/>
  <c r="S174"/>
  <c r="S170"/>
  <c r="P170"/>
  <c r="P169"/>
  <c r="S168"/>
  <c r="P167"/>
  <c r="P164"/>
  <c r="S159"/>
  <c r="S158"/>
  <c r="S153"/>
  <c r="P153"/>
  <c r="S152"/>
  <c r="P151"/>
  <c r="S149"/>
  <c r="P149"/>
  <c r="S148"/>
  <c r="P147"/>
  <c r="P144"/>
  <c r="P142"/>
  <c r="S139"/>
  <c r="S138"/>
  <c r="S133"/>
  <c r="P133"/>
  <c r="S132"/>
  <c r="P131"/>
  <c r="P128"/>
  <c r="P126"/>
  <c r="S123"/>
  <c r="S122"/>
  <c r="S117"/>
  <c r="P117"/>
  <c r="P114"/>
  <c r="P106"/>
  <c r="S105"/>
  <c r="P105"/>
  <c r="S104"/>
  <c r="S102"/>
  <c r="P101"/>
  <c r="S99"/>
  <c r="P98"/>
  <c r="S97"/>
  <c r="S91"/>
  <c r="P90"/>
  <c r="S86"/>
  <c r="S85"/>
  <c r="S83"/>
  <c r="P82"/>
  <c r="P80"/>
  <c r="S74"/>
  <c r="S73"/>
  <c r="P71"/>
  <c r="S66"/>
  <c r="S65"/>
  <c r="S63"/>
  <c r="P62"/>
  <c r="P59"/>
  <c r="S54"/>
  <c r="P53"/>
  <c r="S52"/>
  <c r="P52"/>
  <c r="S49"/>
  <c r="S47"/>
  <c r="P46"/>
  <c r="P43"/>
  <c r="S38"/>
  <c r="P37"/>
  <c r="S36"/>
  <c r="P36"/>
  <c r="S33"/>
  <c r="S31"/>
  <c r="P30"/>
  <c r="P27"/>
  <c r="S22"/>
  <c r="P21"/>
  <c r="S20"/>
  <c r="P20"/>
  <c r="S17"/>
  <c r="S15"/>
  <c r="P14"/>
  <c r="P11"/>
  <c r="S6"/>
  <c r="S195"/>
  <c r="S194"/>
  <c r="S193"/>
  <c r="P193"/>
  <c r="S192"/>
  <c r="P189"/>
  <c r="S188"/>
  <c r="P186"/>
  <c r="P185"/>
  <c r="S184"/>
  <c r="P183"/>
  <c r="S178"/>
  <c r="P178"/>
  <c r="P177"/>
  <c r="S176"/>
  <c r="P175"/>
  <c r="P172"/>
  <c r="S167"/>
  <c r="S166"/>
  <c r="S162"/>
  <c r="P162"/>
  <c r="P161"/>
  <c r="S160"/>
  <c r="P159"/>
  <c r="P156"/>
  <c r="P154"/>
  <c r="S151"/>
  <c r="S150"/>
  <c r="S147"/>
  <c r="S146"/>
  <c r="S141"/>
  <c r="P141"/>
  <c r="S140"/>
  <c r="P139"/>
  <c r="P136"/>
  <c r="P134"/>
  <c r="S131"/>
  <c r="S130"/>
  <c r="S125"/>
  <c r="P125"/>
  <c r="S124"/>
  <c r="P123"/>
  <c r="P120"/>
  <c r="P118"/>
  <c r="S116"/>
  <c r="P112"/>
  <c r="S111"/>
  <c r="P111"/>
  <c r="P109"/>
  <c r="S108"/>
  <c r="S107"/>
  <c r="S106"/>
  <c r="S103"/>
  <c r="P102"/>
  <c r="S98"/>
  <c r="P96"/>
  <c r="S95"/>
  <c r="P95"/>
  <c r="P93"/>
  <c r="S92"/>
  <c r="S90"/>
  <c r="S89"/>
  <c r="S87"/>
  <c r="P86"/>
  <c r="S82"/>
  <c r="S81"/>
  <c r="P79"/>
  <c r="P77"/>
  <c r="S76"/>
  <c r="S75"/>
  <c r="P74"/>
  <c r="P72"/>
  <c r="S69"/>
  <c r="S67"/>
  <c r="P66"/>
  <c r="S62"/>
  <c r="P61"/>
  <c r="S60"/>
  <c r="P60"/>
  <c r="S57"/>
  <c r="S55"/>
  <c r="P54"/>
  <c r="P51"/>
  <c r="S46"/>
  <c r="P45"/>
  <c r="S44"/>
  <c r="P44"/>
  <c r="S41"/>
  <c r="S39"/>
  <c r="P38"/>
  <c r="P35"/>
  <c r="S30"/>
  <c r="P29"/>
  <c r="S28"/>
  <c r="P28"/>
  <c r="S25"/>
  <c r="S23"/>
  <c r="S14"/>
  <c r="S12"/>
  <c r="P12"/>
  <c r="S9"/>
  <c r="S7"/>
  <c r="P6"/>
  <c r="S5"/>
  <c r="N19" i="2"/>
  <c r="O19"/>
  <c r="P19"/>
  <c r="A19"/>
  <c r="I20"/>
  <c r="J20"/>
  <c r="L20"/>
  <c r="AG20"/>
  <c r="AH19"/>
  <c r="AI20"/>
  <c r="AD19"/>
  <c r="M19"/>
  <c r="AB64" l="1"/>
  <c r="AE64"/>
  <c r="A20"/>
  <c r="K19"/>
  <c r="AF19" s="1"/>
  <c r="P20"/>
  <c r="N20"/>
  <c r="O20"/>
  <c r="I21"/>
  <c r="J21"/>
  <c r="L21"/>
  <c r="AG21"/>
  <c r="AH20"/>
  <c r="AH21"/>
  <c r="AD20"/>
  <c r="M20"/>
  <c r="N21" l="1"/>
  <c r="AB20"/>
  <c r="AE20"/>
  <c r="O21"/>
  <c r="A21"/>
  <c r="K20"/>
  <c r="AF20" s="1"/>
  <c r="P21"/>
  <c r="I22"/>
  <c r="J22"/>
  <c r="L22"/>
  <c r="AG22"/>
  <c r="AI21"/>
  <c r="AI22"/>
  <c r="M21"/>
  <c r="AD21"/>
  <c r="AB21" l="1"/>
  <c r="AE21"/>
  <c r="A22"/>
  <c r="O22"/>
  <c r="K21"/>
  <c r="AF21" s="1"/>
  <c r="P22"/>
  <c r="N22"/>
  <c r="I23"/>
  <c r="J23"/>
  <c r="L23"/>
  <c r="AG23"/>
  <c r="AH22"/>
  <c r="AI23"/>
  <c r="AD22"/>
  <c r="M22"/>
  <c r="AB22" l="1"/>
  <c r="AE22"/>
  <c r="A23"/>
  <c r="K22"/>
  <c r="AF22" s="1"/>
  <c r="O23"/>
  <c r="P23"/>
  <c r="N23"/>
  <c r="I24"/>
  <c r="J24"/>
  <c r="L24"/>
  <c r="AG24"/>
  <c r="AH23"/>
  <c r="AI24"/>
  <c r="M23"/>
  <c r="AD23"/>
  <c r="AB23" l="1"/>
  <c r="AE23"/>
  <c r="A24"/>
  <c r="N24"/>
  <c r="K23"/>
  <c r="AF23" s="1"/>
  <c r="I25"/>
  <c r="J25"/>
  <c r="L25"/>
  <c r="AG25"/>
  <c r="AH24"/>
  <c r="AI25"/>
  <c r="AD24"/>
  <c r="M24"/>
  <c r="A25" l="1"/>
  <c r="AE24"/>
  <c r="AB24"/>
  <c r="K24"/>
  <c r="AF24" s="1"/>
  <c r="O25"/>
  <c r="P25"/>
  <c r="N25"/>
  <c r="I26"/>
  <c r="J26"/>
  <c r="L26"/>
  <c r="AG26"/>
  <c r="AH25"/>
  <c r="AI26"/>
  <c r="AD25"/>
  <c r="M25"/>
  <c r="A26" l="1"/>
  <c r="AE25"/>
  <c r="AB25"/>
  <c r="K25"/>
  <c r="AF25" s="1"/>
  <c r="N26"/>
  <c r="I27"/>
  <c r="J27"/>
  <c r="L27"/>
  <c r="AG27"/>
  <c r="AH26"/>
  <c r="AI27"/>
  <c r="M26"/>
  <c r="AD26"/>
  <c r="A27" l="1"/>
  <c r="AE26"/>
  <c r="AB26"/>
  <c r="O27"/>
  <c r="K26"/>
  <c r="AF26" s="1"/>
  <c r="N27"/>
  <c r="P27"/>
  <c r="I28"/>
  <c r="J28"/>
  <c r="L28"/>
  <c r="AG28"/>
  <c r="AH27"/>
  <c r="AI28"/>
  <c r="M27"/>
  <c r="AD27"/>
  <c r="AE27" l="1"/>
  <c r="AB27"/>
  <c r="A28"/>
  <c r="K27"/>
  <c r="AF27" s="1"/>
  <c r="N28"/>
  <c r="I29"/>
  <c r="J29"/>
  <c r="L29"/>
  <c r="AG29"/>
  <c r="AH28"/>
  <c r="AH29"/>
  <c r="M28"/>
  <c r="AD28"/>
  <c r="AE28" l="1"/>
  <c r="AB28"/>
  <c r="A29"/>
  <c r="K28"/>
  <c r="AF28" s="1"/>
  <c r="N29"/>
  <c r="O29"/>
  <c r="P29"/>
  <c r="I30"/>
  <c r="J30"/>
  <c r="L30"/>
  <c r="AG30"/>
  <c r="AI29"/>
  <c r="AI30"/>
  <c r="AD29"/>
  <c r="M29"/>
  <c r="AE29" l="1"/>
  <c r="AB29"/>
  <c r="A30"/>
  <c r="K29"/>
  <c r="AF29" s="1"/>
  <c r="N30"/>
  <c r="O30"/>
  <c r="P30"/>
  <c r="I31"/>
  <c r="J31"/>
  <c r="L31"/>
  <c r="AG31"/>
  <c r="AH30"/>
  <c r="AI31"/>
  <c r="M30"/>
  <c r="AD30"/>
  <c r="O31" l="1"/>
  <c r="AE30"/>
  <c r="AB30"/>
  <c r="P31"/>
  <c r="A31"/>
  <c r="K30"/>
  <c r="AF30" s="1"/>
  <c r="N31"/>
  <c r="I32"/>
  <c r="J32"/>
  <c r="L32"/>
  <c r="AG32"/>
  <c r="AH31"/>
  <c r="AI32"/>
  <c r="M31"/>
  <c r="AD31"/>
  <c r="AE31" l="1"/>
  <c r="AB31"/>
  <c r="A32"/>
  <c r="O32"/>
  <c r="K31"/>
  <c r="AF31" s="1"/>
  <c r="N32"/>
  <c r="P32"/>
  <c r="I35"/>
  <c r="J35"/>
  <c r="L35"/>
  <c r="AG35"/>
  <c r="AH32"/>
  <c r="AI35"/>
  <c r="AD32"/>
  <c r="M32"/>
  <c r="AE32" l="1"/>
  <c r="AB32"/>
  <c r="A35"/>
  <c r="K32"/>
  <c r="AF32" s="1"/>
  <c r="N35"/>
  <c r="O35"/>
  <c r="P35"/>
  <c r="I36"/>
  <c r="J36"/>
  <c r="L36"/>
  <c r="AG36"/>
  <c r="AH35"/>
  <c r="AH36"/>
  <c r="AD35"/>
  <c r="M35"/>
  <c r="A36" l="1"/>
  <c r="AE35"/>
  <c r="AB35"/>
  <c r="K35"/>
  <c r="AF35" s="1"/>
  <c r="N36"/>
  <c r="O36"/>
  <c r="P36"/>
  <c r="I37"/>
  <c r="J37"/>
  <c r="L37"/>
  <c r="AG37"/>
  <c r="AI36"/>
  <c r="AH37"/>
  <c r="M36"/>
  <c r="AD36"/>
  <c r="A37" l="1"/>
  <c r="AE36"/>
  <c r="AB36"/>
  <c r="K36"/>
  <c r="AF36" s="1"/>
  <c r="N37"/>
  <c r="O37"/>
  <c r="P37"/>
  <c r="I38"/>
  <c r="J38"/>
  <c r="L38"/>
  <c r="AG38"/>
  <c r="AI37"/>
  <c r="AI38"/>
  <c r="AD37"/>
  <c r="M37"/>
  <c r="A38" l="1"/>
  <c r="AE37"/>
  <c r="AB37"/>
  <c r="K37"/>
  <c r="AF37" s="1"/>
  <c r="N38"/>
  <c r="O38"/>
  <c r="P38"/>
  <c r="I39"/>
  <c r="J39"/>
  <c r="L39"/>
  <c r="AG39"/>
  <c r="AH38"/>
  <c r="AI39"/>
  <c r="AD38"/>
  <c r="M38"/>
  <c r="AE38" l="1"/>
  <c r="AB38"/>
  <c r="A39"/>
  <c r="K38"/>
  <c r="AF38" s="1"/>
  <c r="O39"/>
  <c r="P39"/>
  <c r="N39"/>
  <c r="I40"/>
  <c r="J40"/>
  <c r="L40"/>
  <c r="AG40"/>
  <c r="AH39"/>
  <c r="AH40"/>
  <c r="AD39"/>
  <c r="M39"/>
  <c r="AE39" l="1"/>
  <c r="AB39"/>
  <c r="A40"/>
  <c r="K39"/>
  <c r="AF39" s="1"/>
  <c r="N40"/>
  <c r="O40"/>
  <c r="P40"/>
  <c r="I41"/>
  <c r="J41"/>
  <c r="L41"/>
  <c r="AG41"/>
  <c r="AI40"/>
  <c r="AI41"/>
  <c r="M40"/>
  <c r="AD40"/>
  <c r="AE40" l="1"/>
  <c r="AB40"/>
  <c r="A41"/>
  <c r="K40"/>
  <c r="AF40" s="1"/>
  <c r="N41"/>
  <c r="O41"/>
  <c r="P41"/>
  <c r="I42"/>
  <c r="J42"/>
  <c r="L42"/>
  <c r="AG42"/>
  <c r="AH41"/>
  <c r="AI42"/>
  <c r="M41"/>
  <c r="AD41"/>
  <c r="A42" l="1"/>
  <c r="AE41"/>
  <c r="AB41"/>
  <c r="K41"/>
  <c r="AF41" s="1"/>
  <c r="N42"/>
  <c r="O42"/>
  <c r="P42"/>
  <c r="I43"/>
  <c r="J43"/>
  <c r="L43"/>
  <c r="AG43"/>
  <c r="AH42"/>
  <c r="AH43"/>
  <c r="AD42"/>
  <c r="M42"/>
  <c r="A43" l="1"/>
  <c r="AE42"/>
  <c r="AB42"/>
  <c r="K42"/>
  <c r="AF42" s="1"/>
  <c r="N43"/>
  <c r="O43"/>
  <c r="P43"/>
  <c r="I44"/>
  <c r="J44"/>
  <c r="L44"/>
  <c r="AG44"/>
  <c r="AI43"/>
  <c r="AI44"/>
  <c r="AD43"/>
  <c r="M43"/>
  <c r="A44" l="1"/>
  <c r="AE43"/>
  <c r="AB43"/>
  <c r="K43"/>
  <c r="AF43" s="1"/>
  <c r="N44"/>
  <c r="O44"/>
  <c r="P44"/>
  <c r="I45"/>
  <c r="J45"/>
  <c r="L45"/>
  <c r="AG45"/>
  <c r="AH44"/>
  <c r="AI45"/>
  <c r="M44"/>
  <c r="AD44"/>
  <c r="AE44" l="1"/>
  <c r="AB44"/>
  <c r="A45"/>
  <c r="O45"/>
  <c r="N45"/>
  <c r="K44"/>
  <c r="AF44" s="1"/>
  <c r="P45"/>
  <c r="I46"/>
  <c r="J46"/>
  <c r="L46"/>
  <c r="AG46"/>
  <c r="AH45"/>
  <c r="AI46"/>
  <c r="AD45"/>
  <c r="M45"/>
  <c r="A46" l="1"/>
  <c r="AE45"/>
  <c r="AB45"/>
  <c r="K45"/>
  <c r="AF45" s="1"/>
  <c r="N46"/>
  <c r="O46"/>
  <c r="P46"/>
  <c r="I47"/>
  <c r="J47"/>
  <c r="L47"/>
  <c r="AG47"/>
  <c r="AH46"/>
  <c r="AH47"/>
  <c r="AD46"/>
  <c r="M46"/>
  <c r="AE46" l="1"/>
  <c r="AB46"/>
  <c r="A47"/>
  <c r="K46"/>
  <c r="AF46" s="1"/>
  <c r="N47"/>
  <c r="O47"/>
  <c r="P47"/>
  <c r="I48"/>
  <c r="J48"/>
  <c r="L48"/>
  <c r="AG48"/>
  <c r="AI47"/>
  <c r="AI48"/>
  <c r="AD47"/>
  <c r="M47"/>
  <c r="A48" l="1"/>
  <c r="AE47"/>
  <c r="AB47"/>
  <c r="K47"/>
  <c r="AF47" s="1"/>
  <c r="N48"/>
  <c r="O48"/>
  <c r="P48"/>
  <c r="I49"/>
  <c r="J49"/>
  <c r="L49"/>
  <c r="AG49"/>
  <c r="AH48"/>
  <c r="AI49"/>
  <c r="M48"/>
  <c r="AD48"/>
  <c r="A49" l="1"/>
  <c r="AE48"/>
  <c r="AB48"/>
  <c r="K48"/>
  <c r="AF48" s="1"/>
  <c r="N49"/>
  <c r="O49"/>
  <c r="P49"/>
  <c r="I50"/>
  <c r="J50"/>
  <c r="L50"/>
  <c r="AG50"/>
  <c r="AH49"/>
  <c r="AH50"/>
  <c r="M49"/>
  <c r="AD49"/>
  <c r="A50" l="1"/>
  <c r="AE49"/>
  <c r="AB49"/>
  <c r="K49"/>
  <c r="AF49" s="1"/>
  <c r="O50"/>
  <c r="P50"/>
  <c r="N50"/>
  <c r="I51"/>
  <c r="J51"/>
  <c r="L51"/>
  <c r="AG51"/>
  <c r="AI50"/>
  <c r="AH51"/>
  <c r="AD50"/>
  <c r="M50"/>
  <c r="N51" l="1"/>
  <c r="AE50"/>
  <c r="AB50"/>
  <c r="K50"/>
  <c r="AF50" s="1"/>
  <c r="A51"/>
  <c r="O51"/>
  <c r="P51"/>
  <c r="I52"/>
  <c r="J52"/>
  <c r="L52"/>
  <c r="AG52"/>
  <c r="AI51"/>
  <c r="AI52"/>
  <c r="AD51"/>
  <c r="M51"/>
  <c r="A52" l="1"/>
  <c r="AE51"/>
  <c r="AB51"/>
  <c r="K51"/>
  <c r="AF51" s="1"/>
  <c r="N52"/>
  <c r="O52"/>
  <c r="P52"/>
  <c r="I53"/>
  <c r="J53"/>
  <c r="L53"/>
  <c r="AG53"/>
  <c r="AH52"/>
  <c r="AI53"/>
  <c r="M52"/>
  <c r="AD52"/>
  <c r="A53" l="1"/>
  <c r="AE52"/>
  <c r="AB52"/>
  <c r="K52"/>
  <c r="AF52" s="1"/>
  <c r="N53"/>
  <c r="O53"/>
  <c r="P53"/>
  <c r="I54"/>
  <c r="J54"/>
  <c r="L54"/>
  <c r="AG54"/>
  <c r="AH53"/>
  <c r="AH54"/>
  <c r="M53"/>
  <c r="AD53"/>
  <c r="A54" l="1"/>
  <c r="AE53"/>
  <c r="AB53"/>
  <c r="K53"/>
  <c r="AF53" s="1"/>
  <c r="O54"/>
  <c r="P54"/>
  <c r="N54"/>
  <c r="I55"/>
  <c r="J55"/>
  <c r="L55"/>
  <c r="AG55"/>
  <c r="AI54"/>
  <c r="AH55"/>
  <c r="AD54"/>
  <c r="M54"/>
  <c r="A55" l="1"/>
  <c r="AE54"/>
  <c r="AB54"/>
  <c r="N55"/>
  <c r="K54"/>
  <c r="AF54" s="1"/>
  <c r="O55"/>
  <c r="P55"/>
  <c r="I56"/>
  <c r="J56"/>
  <c r="L56"/>
  <c r="AG56"/>
  <c r="AI55"/>
  <c r="AI56"/>
  <c r="M55"/>
  <c r="AD55"/>
  <c r="A56" l="1"/>
  <c r="AE55"/>
  <c r="AB55"/>
  <c r="K55"/>
  <c r="AF55" s="1"/>
  <c r="O56"/>
  <c r="P56"/>
  <c r="N56"/>
  <c r="I57"/>
  <c r="J57"/>
  <c r="L57"/>
  <c r="AG57"/>
  <c r="AH56"/>
  <c r="AI57"/>
  <c r="AD56"/>
  <c r="M56"/>
  <c r="A57" l="1"/>
  <c r="AE56"/>
  <c r="AB56"/>
  <c r="K56"/>
  <c r="AF56" s="1"/>
  <c r="N57"/>
  <c r="O57"/>
  <c r="P57"/>
  <c r="I58"/>
  <c r="J58"/>
  <c r="L58"/>
  <c r="AG58"/>
  <c r="AH57"/>
  <c r="AH58"/>
  <c r="M57"/>
  <c r="AD57"/>
  <c r="A58" l="1"/>
  <c r="AE57"/>
  <c r="AB57"/>
  <c r="K57"/>
  <c r="AF57" s="1"/>
  <c r="N58"/>
  <c r="O58"/>
  <c r="P58"/>
  <c r="I59"/>
  <c r="J59"/>
  <c r="L59"/>
  <c r="AG59"/>
  <c r="AI58"/>
  <c r="AI59"/>
  <c r="AD58"/>
  <c r="M58"/>
  <c r="AE58" l="1"/>
  <c r="AB58"/>
  <c r="A59"/>
  <c r="K58"/>
  <c r="AF58" s="1"/>
  <c r="N59"/>
  <c r="O59"/>
  <c r="P59"/>
  <c r="I60"/>
  <c r="J60"/>
  <c r="L60"/>
  <c r="AG60"/>
  <c r="AH59"/>
  <c r="AI60"/>
  <c r="AD59"/>
  <c r="M59"/>
  <c r="AE59" l="1"/>
  <c r="AB59"/>
  <c r="A60"/>
  <c r="K59"/>
  <c r="AF59" s="1"/>
  <c r="N60"/>
  <c r="O60"/>
  <c r="P60"/>
  <c r="I61"/>
  <c r="J61"/>
  <c r="L61"/>
  <c r="AG61"/>
  <c r="AH60"/>
  <c r="AH61"/>
  <c r="M60"/>
  <c r="AD60"/>
  <c r="AE60" l="1"/>
  <c r="AB60"/>
  <c r="A61"/>
  <c r="K60"/>
  <c r="AF60" s="1"/>
  <c r="N61"/>
  <c r="O61"/>
  <c r="P61"/>
  <c r="I62"/>
  <c r="J62"/>
  <c r="L62"/>
  <c r="AG62"/>
  <c r="AI61"/>
  <c r="AH62"/>
  <c r="M61"/>
  <c r="AD61"/>
  <c r="A62" l="1"/>
  <c r="AE61"/>
  <c r="AB61"/>
  <c r="N62"/>
  <c r="O62"/>
  <c r="K61"/>
  <c r="AF61" s="1"/>
  <c r="P62"/>
  <c r="I33"/>
  <c r="J33"/>
  <c r="I34"/>
  <c r="J34"/>
  <c r="I63"/>
  <c r="J63"/>
  <c r="I2"/>
  <c r="J2"/>
  <c r="I7"/>
  <c r="J7"/>
  <c r="I16"/>
  <c r="J16"/>
  <c r="I4"/>
  <c r="J4"/>
  <c r="I5"/>
  <c r="J5"/>
  <c r="I6"/>
  <c r="J6"/>
  <c r="I8"/>
  <c r="J8"/>
  <c r="I9"/>
  <c r="J9"/>
  <c r="I10"/>
  <c r="J10"/>
  <c r="I11"/>
  <c r="J11"/>
  <c r="I12"/>
  <c r="J12"/>
  <c r="I13"/>
  <c r="J13"/>
  <c r="I14"/>
  <c r="J14"/>
  <c r="I15"/>
  <c r="J15"/>
  <c r="I17"/>
  <c r="J17"/>
  <c r="I18"/>
  <c r="J18"/>
  <c r="J3"/>
  <c r="I3"/>
  <c r="AG16"/>
  <c r="AI62"/>
  <c r="AI16"/>
  <c r="AD62"/>
  <c r="M62"/>
  <c r="AE63" l="1"/>
  <c r="AB63"/>
  <c r="AC63" s="1"/>
  <c r="AE62"/>
  <c r="AB62"/>
  <c r="A17"/>
  <c r="A14"/>
  <c r="A12"/>
  <c r="A10"/>
  <c r="A8"/>
  <c r="A5"/>
  <c r="A16"/>
  <c r="A2"/>
  <c r="U2" i="7" s="1"/>
  <c r="A34" i="2"/>
  <c r="K62"/>
  <c r="AF62" s="1"/>
  <c r="A18"/>
  <c r="A15"/>
  <c r="A13"/>
  <c r="A11"/>
  <c r="A9"/>
  <c r="A6"/>
  <c r="A4"/>
  <c r="A7"/>
  <c r="A63"/>
  <c r="A33"/>
  <c r="A3"/>
  <c r="P16"/>
  <c r="O16"/>
  <c r="N16"/>
  <c r="AH16"/>
  <c r="M16"/>
  <c r="AD16"/>
  <c r="AB16" l="1"/>
  <c r="U73" i="7"/>
  <c r="AE16" i="2"/>
  <c r="AK64"/>
  <c r="U439" i="7"/>
  <c r="U630"/>
  <c r="U52"/>
  <c r="U48"/>
  <c r="U455"/>
  <c r="U697"/>
  <c r="U741"/>
  <c r="U784"/>
  <c r="U17"/>
  <c r="U415"/>
  <c r="U242"/>
  <c r="U127"/>
  <c r="U325"/>
  <c r="U328"/>
  <c r="U68"/>
  <c r="U725"/>
  <c r="U38"/>
  <c r="U389"/>
  <c r="U188"/>
  <c r="U79"/>
  <c r="U319"/>
  <c r="U203"/>
  <c r="U446"/>
  <c r="U713"/>
  <c r="U805"/>
  <c r="U21"/>
  <c r="U179"/>
  <c r="U91"/>
  <c r="U470"/>
  <c r="U293"/>
  <c r="U667"/>
  <c r="U60"/>
  <c r="U626"/>
  <c r="U44"/>
  <c r="U278"/>
  <c r="U16"/>
  <c r="U192"/>
  <c r="U419"/>
  <c r="U709"/>
  <c r="U789"/>
  <c r="U15"/>
  <c r="U135"/>
  <c r="U566"/>
  <c r="U452"/>
  <c r="U258"/>
  <c r="U481"/>
  <c r="U443"/>
  <c r="U12"/>
  <c r="U36"/>
  <c r="U80"/>
  <c r="U177"/>
  <c r="U395"/>
  <c r="U587"/>
  <c r="U705"/>
  <c r="U721"/>
  <c r="U773"/>
  <c r="U591"/>
  <c r="U14"/>
  <c r="U27"/>
  <c r="U71"/>
  <c r="U357"/>
  <c r="U509"/>
  <c r="U151"/>
  <c r="U392"/>
  <c r="U629"/>
  <c r="U225"/>
  <c r="U309"/>
  <c r="U341"/>
  <c r="U635"/>
  <c r="U47"/>
  <c r="U296"/>
  <c r="U376"/>
  <c r="U514"/>
  <c r="U813"/>
  <c r="U835"/>
  <c r="U856"/>
  <c r="U877"/>
  <c r="U897"/>
  <c r="U919"/>
  <c r="U940"/>
  <c r="U961"/>
  <c r="U694"/>
  <c r="U76"/>
  <c r="U102"/>
  <c r="U20"/>
  <c r="U72"/>
  <c r="U289"/>
  <c r="U609"/>
  <c r="U610"/>
  <c r="U10"/>
  <c r="U37"/>
  <c r="U58"/>
  <c r="U290"/>
  <c r="U501"/>
  <c r="U128"/>
  <c r="U216"/>
  <c r="U436"/>
  <c r="U546"/>
  <c r="U124"/>
  <c r="U287"/>
  <c r="U323"/>
  <c r="U373"/>
  <c r="U558"/>
  <c r="U663"/>
  <c r="U75"/>
  <c r="U274"/>
  <c r="U372"/>
  <c r="U482"/>
  <c r="U613"/>
  <c r="U817"/>
  <c r="U839"/>
  <c r="U860"/>
  <c r="U881"/>
  <c r="U907"/>
  <c r="U928"/>
  <c r="U949"/>
  <c r="U690"/>
  <c r="U682"/>
  <c r="U184"/>
  <c r="U254"/>
  <c r="U273"/>
  <c r="U733"/>
  <c r="U797"/>
  <c r="U750"/>
  <c r="U29"/>
  <c r="U23"/>
  <c r="U196"/>
  <c r="U461"/>
  <c r="U59"/>
  <c r="U210"/>
  <c r="U385"/>
  <c r="U612"/>
  <c r="U295"/>
  <c r="U327"/>
  <c r="U384"/>
  <c r="U643"/>
  <c r="U63"/>
  <c r="U228"/>
  <c r="U336"/>
  <c r="U474"/>
  <c r="U811"/>
  <c r="U832"/>
  <c r="U853"/>
  <c r="U875"/>
  <c r="U895"/>
  <c r="U916"/>
  <c r="U937"/>
  <c r="U959"/>
  <c r="U662"/>
  <c r="U801"/>
  <c r="U246"/>
  <c r="U403"/>
  <c r="U563"/>
  <c r="U736"/>
  <c r="U19"/>
  <c r="U41"/>
  <c r="U110"/>
  <c r="U361"/>
  <c r="U517"/>
  <c r="U164"/>
  <c r="U217"/>
  <c r="U399"/>
  <c r="U562"/>
  <c r="U220"/>
  <c r="U305"/>
  <c r="U337"/>
  <c r="U489"/>
  <c r="U605"/>
  <c r="U687"/>
  <c r="U136"/>
  <c r="U332"/>
  <c r="U447"/>
  <c r="U586"/>
  <c r="U815"/>
  <c r="U836"/>
  <c r="U857"/>
  <c r="U879"/>
  <c r="U899"/>
  <c r="U920"/>
  <c r="U941"/>
  <c r="U963"/>
  <c r="U729"/>
  <c r="U742"/>
  <c r="U770"/>
  <c r="U716"/>
  <c r="U681"/>
  <c r="U807"/>
  <c r="U780"/>
  <c r="U763"/>
  <c r="U711"/>
  <c r="U661"/>
  <c r="U946"/>
  <c r="U918"/>
  <c r="U902"/>
  <c r="U886"/>
  <c r="U870"/>
  <c r="U854"/>
  <c r="U838"/>
  <c r="U822"/>
  <c r="U803"/>
  <c r="U771"/>
  <c r="U723"/>
  <c r="U689"/>
  <c r="U966"/>
  <c r="U934"/>
  <c r="U794"/>
  <c r="U762"/>
  <c r="U722"/>
  <c r="U696"/>
  <c r="U637"/>
  <c r="U611"/>
  <c r="U572"/>
  <c r="U547"/>
  <c r="U528"/>
  <c r="U495"/>
  <c r="U463"/>
  <c r="U406"/>
  <c r="U370"/>
  <c r="U276"/>
  <c r="U252"/>
  <c r="U227"/>
  <c r="U190"/>
  <c r="U150"/>
  <c r="U125"/>
  <c r="U86"/>
  <c r="U61"/>
  <c r="U743"/>
  <c r="U724"/>
  <c r="U703"/>
  <c r="U684"/>
  <c r="U668"/>
  <c r="U652"/>
  <c r="U636"/>
  <c r="U619"/>
  <c r="U589"/>
  <c r="U557"/>
  <c r="U533"/>
  <c r="U508"/>
  <c r="U476"/>
  <c r="U433"/>
  <c r="U409"/>
  <c r="U379"/>
  <c r="U347"/>
  <c r="U334"/>
  <c r="U318"/>
  <c r="U302"/>
  <c r="U272"/>
  <c r="U245"/>
  <c r="U211"/>
  <c r="U183"/>
  <c r="U167"/>
  <c r="U134"/>
  <c r="U113"/>
  <c r="U89"/>
  <c r="U45"/>
  <c r="U593"/>
  <c r="U561"/>
  <c r="U536"/>
  <c r="U507"/>
  <c r="U475"/>
  <c r="U445"/>
  <c r="U429"/>
  <c r="U421"/>
  <c r="U387"/>
  <c r="U355"/>
  <c r="U283"/>
  <c r="U240"/>
  <c r="U204"/>
  <c r="U175"/>
  <c r="U149"/>
  <c r="U117"/>
  <c r="U90"/>
  <c r="U627"/>
  <c r="U584"/>
  <c r="U551"/>
  <c r="U532"/>
  <c r="U504"/>
  <c r="U472"/>
  <c r="U440"/>
  <c r="U394"/>
  <c r="U362"/>
  <c r="U280"/>
  <c r="U243"/>
  <c r="U197"/>
  <c r="U142"/>
  <c r="U111"/>
  <c r="U85"/>
  <c r="U57"/>
  <c r="U377"/>
  <c r="U87"/>
  <c r="U431"/>
  <c r="U819"/>
  <c r="U861"/>
  <c r="U903"/>
  <c r="U945"/>
  <c r="U634"/>
  <c r="U84"/>
  <c r="U40"/>
  <c r="U93"/>
  <c r="U286"/>
  <c r="U279"/>
  <c r="U555"/>
  <c r="U701"/>
  <c r="U717"/>
  <c r="U757"/>
  <c r="U559"/>
  <c r="U782"/>
  <c r="U35"/>
  <c r="U34"/>
  <c r="U249"/>
  <c r="U477"/>
  <c r="U131"/>
  <c r="U360"/>
  <c r="U518"/>
  <c r="U163"/>
  <c r="U303"/>
  <c r="U335"/>
  <c r="U534"/>
  <c r="U683"/>
  <c r="U230"/>
  <c r="U344"/>
  <c r="U466"/>
  <c r="U793"/>
  <c r="U829"/>
  <c r="U851"/>
  <c r="U872"/>
  <c r="U892"/>
  <c r="U913"/>
  <c r="U935"/>
  <c r="U956"/>
  <c r="U745"/>
  <c r="U785"/>
  <c r="U114"/>
  <c r="U88"/>
  <c r="U64"/>
  <c r="U200"/>
  <c r="U169"/>
  <c r="U430"/>
  <c r="U583"/>
  <c r="U13"/>
  <c r="U31"/>
  <c r="U50"/>
  <c r="U201"/>
  <c r="U469"/>
  <c r="U83"/>
  <c r="U212"/>
  <c r="U388"/>
  <c r="U510"/>
  <c r="U67"/>
  <c r="U250"/>
  <c r="U313"/>
  <c r="U345"/>
  <c r="U513"/>
  <c r="U647"/>
  <c r="U760"/>
  <c r="U229"/>
  <c r="U340"/>
  <c r="U458"/>
  <c r="U570"/>
  <c r="U812"/>
  <c r="U833"/>
  <c r="U855"/>
  <c r="U876"/>
  <c r="U901"/>
  <c r="U923"/>
  <c r="U944"/>
  <c r="U965"/>
  <c r="U792"/>
  <c r="U160"/>
  <c r="U161"/>
  <c r="U451"/>
  <c r="U625"/>
  <c r="U781"/>
  <c r="U752"/>
  <c r="U6"/>
  <c r="U5"/>
  <c r="U155"/>
  <c r="U410"/>
  <c r="U598"/>
  <c r="U206"/>
  <c r="U353"/>
  <c r="U502"/>
  <c r="U221"/>
  <c r="U317"/>
  <c r="U352"/>
  <c r="U620"/>
  <c r="U691"/>
  <c r="U187"/>
  <c r="U320"/>
  <c r="U448"/>
  <c r="U761"/>
  <c r="U827"/>
  <c r="U848"/>
  <c r="U869"/>
  <c r="U891"/>
  <c r="U911"/>
  <c r="U932"/>
  <c r="U953"/>
  <c r="U674"/>
  <c r="U769"/>
  <c r="U234"/>
  <c r="U423"/>
  <c r="U398"/>
  <c r="U599"/>
  <c r="U798"/>
  <c r="U25"/>
  <c r="U39"/>
  <c r="U255"/>
  <c r="U485"/>
  <c r="U99"/>
  <c r="U213"/>
  <c r="U381"/>
  <c r="U530"/>
  <c r="U94"/>
  <c r="U299"/>
  <c r="U331"/>
  <c r="U465"/>
  <c r="U574"/>
  <c r="U671"/>
  <c r="U115"/>
  <c r="U316"/>
  <c r="U432"/>
  <c r="U554"/>
  <c r="U809"/>
  <c r="U831"/>
  <c r="U852"/>
  <c r="U873"/>
  <c r="U893"/>
  <c r="U915"/>
  <c r="U936"/>
  <c r="U957"/>
  <c r="U646"/>
  <c r="U650"/>
  <c r="U786"/>
  <c r="U720"/>
  <c r="U695"/>
  <c r="U633"/>
  <c r="U791"/>
  <c r="U764"/>
  <c r="U715"/>
  <c r="U677"/>
  <c r="U950"/>
  <c r="U922"/>
  <c r="U906"/>
  <c r="U890"/>
  <c r="U874"/>
  <c r="U858"/>
  <c r="U842"/>
  <c r="U826"/>
  <c r="U804"/>
  <c r="U772"/>
  <c r="U739"/>
  <c r="U702"/>
  <c r="U641"/>
  <c r="U938"/>
  <c r="U799"/>
  <c r="U767"/>
  <c r="U735"/>
  <c r="U700"/>
  <c r="U653"/>
  <c r="U616"/>
  <c r="U585"/>
  <c r="U553"/>
  <c r="U531"/>
  <c r="U503"/>
  <c r="U471"/>
  <c r="U417"/>
  <c r="U371"/>
  <c r="U288"/>
  <c r="U261"/>
  <c r="U235"/>
  <c r="U191"/>
  <c r="U162"/>
  <c r="U130"/>
  <c r="U103"/>
  <c r="U62"/>
  <c r="U747"/>
  <c r="U727"/>
  <c r="U708"/>
  <c r="U688"/>
  <c r="U672"/>
  <c r="U656"/>
  <c r="U640"/>
  <c r="U622"/>
  <c r="U592"/>
  <c r="U560"/>
  <c r="U540"/>
  <c r="U516"/>
  <c r="U484"/>
  <c r="U449"/>
  <c r="U412"/>
  <c r="U383"/>
  <c r="U351"/>
  <c r="U338"/>
  <c r="U322"/>
  <c r="U306"/>
  <c r="U275"/>
  <c r="U248"/>
  <c r="U215"/>
  <c r="U198"/>
  <c r="U170"/>
  <c r="U145"/>
  <c r="U116"/>
  <c r="U95"/>
  <c r="U66"/>
  <c r="U596"/>
  <c r="U564"/>
  <c r="U539"/>
  <c r="U515"/>
  <c r="U483"/>
  <c r="U454"/>
  <c r="U438"/>
  <c r="U424"/>
  <c r="U391"/>
  <c r="U359"/>
  <c r="U284"/>
  <c r="U244"/>
  <c r="U224"/>
  <c r="U178"/>
  <c r="U153"/>
  <c r="U122"/>
  <c r="U92"/>
  <c r="U53"/>
  <c r="U597"/>
  <c r="U565"/>
  <c r="U535"/>
  <c r="U512"/>
  <c r="U480"/>
  <c r="U453"/>
  <c r="U401"/>
  <c r="U363"/>
  <c r="U285"/>
  <c r="U267"/>
  <c r="U231"/>
  <c r="U157"/>
  <c r="U121"/>
  <c r="U96"/>
  <c r="U69"/>
  <c r="U686"/>
  <c r="U824"/>
  <c r="U845"/>
  <c r="U867"/>
  <c r="U888"/>
  <c r="U908"/>
  <c r="U929"/>
  <c r="U951"/>
  <c r="U642"/>
  <c r="U737"/>
  <c r="U56"/>
  <c r="U176"/>
  <c r="U24"/>
  <c r="U32"/>
  <c r="U270"/>
  <c r="U435"/>
  <c r="U604"/>
  <c r="U766"/>
  <c r="U30"/>
  <c r="U33"/>
  <c r="U172"/>
  <c r="U411"/>
  <c r="U602"/>
  <c r="U208"/>
  <c r="U356"/>
  <c r="U486"/>
  <c r="U618"/>
  <c r="U222"/>
  <c r="U307"/>
  <c r="U339"/>
  <c r="U497"/>
  <c r="U628"/>
  <c r="U728"/>
  <c r="U156"/>
  <c r="U324"/>
  <c r="U442"/>
  <c r="U538"/>
  <c r="U777"/>
  <c r="U828"/>
  <c r="U849"/>
  <c r="U871"/>
  <c r="U896"/>
  <c r="U917"/>
  <c r="U939"/>
  <c r="U960"/>
  <c r="U758"/>
  <c r="U806"/>
  <c r="U238"/>
  <c r="U263"/>
  <c r="U414"/>
  <c r="U765"/>
  <c r="U575"/>
  <c r="U9"/>
  <c r="U42"/>
  <c r="U119"/>
  <c r="U364"/>
  <c r="U526"/>
  <c r="U171"/>
  <c r="U218"/>
  <c r="U478"/>
  <c r="U140"/>
  <c r="U311"/>
  <c r="U343"/>
  <c r="U550"/>
  <c r="U675"/>
  <c r="U139"/>
  <c r="U304"/>
  <c r="U426"/>
  <c r="U654"/>
  <c r="U821"/>
  <c r="U843"/>
  <c r="U864"/>
  <c r="U885"/>
  <c r="U905"/>
  <c r="U927"/>
  <c r="U948"/>
  <c r="U969"/>
  <c r="U666"/>
  <c r="U168"/>
  <c r="U195"/>
  <c r="U601"/>
  <c r="U567"/>
  <c r="U734"/>
  <c r="U22"/>
  <c r="U18"/>
  <c r="U185"/>
  <c r="U416"/>
  <c r="U54"/>
  <c r="U209"/>
  <c r="U349"/>
  <c r="U494"/>
  <c r="U46"/>
  <c r="U281"/>
  <c r="U321"/>
  <c r="U380"/>
  <c r="U521"/>
  <c r="U655"/>
  <c r="U51"/>
  <c r="U300"/>
  <c r="U404"/>
  <c r="U522"/>
  <c r="U726"/>
  <c r="U825"/>
  <c r="U847"/>
  <c r="U868"/>
  <c r="U889"/>
  <c r="U909"/>
  <c r="U931"/>
  <c r="U952"/>
  <c r="U658"/>
  <c r="U808"/>
  <c r="U802"/>
  <c r="U738"/>
  <c r="U699"/>
  <c r="U649"/>
  <c r="U795"/>
  <c r="U775"/>
  <c r="U730"/>
  <c r="U693"/>
  <c r="U954"/>
  <c r="U926"/>
  <c r="U910"/>
  <c r="U894"/>
  <c r="U878"/>
  <c r="U862"/>
  <c r="U846"/>
  <c r="U830"/>
  <c r="U814"/>
  <c r="U787"/>
  <c r="U740"/>
  <c r="U706"/>
  <c r="U657"/>
  <c r="U958"/>
  <c r="U810"/>
  <c r="U778"/>
  <c r="U755"/>
  <c r="U704"/>
  <c r="U669"/>
  <c r="U623"/>
  <c r="U588"/>
  <c r="U556"/>
  <c r="U537"/>
  <c r="U511"/>
  <c r="U479"/>
  <c r="U434"/>
  <c r="U375"/>
  <c r="U291"/>
  <c r="U264"/>
  <c r="U236"/>
  <c r="U202"/>
  <c r="U166"/>
  <c r="U141"/>
  <c r="U104"/>
  <c r="U74"/>
  <c r="U748"/>
  <c r="U731"/>
  <c r="U714"/>
  <c r="U692"/>
  <c r="U676"/>
  <c r="U660"/>
  <c r="U644"/>
  <c r="U624"/>
  <c r="U600"/>
  <c r="U573"/>
  <c r="U543"/>
  <c r="U524"/>
  <c r="U492"/>
  <c r="U460"/>
  <c r="U413"/>
  <c r="U405"/>
  <c r="U374"/>
  <c r="U342"/>
  <c r="U326"/>
  <c r="U310"/>
  <c r="U294"/>
  <c r="U253"/>
  <c r="U219"/>
  <c r="U199"/>
  <c r="U174"/>
  <c r="U154"/>
  <c r="U118"/>
  <c r="U105"/>
  <c r="U78"/>
  <c r="U603"/>
  <c r="U577"/>
  <c r="U545"/>
  <c r="U523"/>
  <c r="U491"/>
  <c r="U459"/>
  <c r="U441"/>
  <c r="U425"/>
  <c r="U396"/>
  <c r="U382"/>
  <c r="U350"/>
  <c r="U256"/>
  <c r="U232"/>
  <c r="U189"/>
  <c r="U158"/>
  <c r="U133"/>
  <c r="U101"/>
  <c r="U65"/>
  <c r="U614"/>
  <c r="U568"/>
  <c r="U541"/>
  <c r="U520"/>
  <c r="U488"/>
  <c r="U456"/>
  <c r="U418"/>
  <c r="U367"/>
  <c r="U292"/>
  <c r="U268"/>
  <c r="U237"/>
  <c r="U159"/>
  <c r="U126"/>
  <c r="U97"/>
  <c r="U70"/>
  <c r="U651"/>
  <c r="U312"/>
  <c r="U621"/>
  <c r="U840"/>
  <c r="U883"/>
  <c r="U924"/>
  <c r="U967"/>
  <c r="U28"/>
  <c r="U109"/>
  <c r="U106"/>
  <c r="U98"/>
  <c r="U193"/>
  <c r="U257"/>
  <c r="U579"/>
  <c r="U768"/>
  <c r="U11"/>
  <c r="U7"/>
  <c r="U132"/>
  <c r="U368"/>
  <c r="U542"/>
  <c r="U147"/>
  <c r="U271"/>
  <c r="U462"/>
  <c r="U578"/>
  <c r="U143"/>
  <c r="U297"/>
  <c r="U329"/>
  <c r="U420"/>
  <c r="U590"/>
  <c r="U679"/>
  <c r="U123"/>
  <c r="U308"/>
  <c r="U427"/>
  <c r="U506"/>
  <c r="U670"/>
  <c r="U823"/>
  <c r="U844"/>
  <c r="U865"/>
  <c r="U887"/>
  <c r="U912"/>
  <c r="U933"/>
  <c r="U955"/>
  <c r="U678"/>
  <c r="U774"/>
  <c r="U148"/>
  <c r="U407"/>
  <c r="U617"/>
  <c r="U749"/>
  <c r="U571"/>
  <c r="U4"/>
  <c r="U26"/>
  <c r="U49"/>
  <c r="U282"/>
  <c r="U493"/>
  <c r="U144"/>
  <c r="U214"/>
  <c r="U400"/>
  <c r="U55"/>
  <c r="U301"/>
  <c r="U333"/>
  <c r="U473"/>
  <c r="U659"/>
  <c r="U120"/>
  <c r="U266"/>
  <c r="U369"/>
  <c r="U498"/>
  <c r="U816"/>
  <c r="U837"/>
  <c r="U859"/>
  <c r="U880"/>
  <c r="U900"/>
  <c r="U921"/>
  <c r="U943"/>
  <c r="U964"/>
  <c r="U753"/>
  <c r="U8"/>
  <c r="U262"/>
  <c r="U247"/>
  <c r="U595"/>
  <c r="U800"/>
  <c r="U3"/>
  <c r="U43"/>
  <c r="U152"/>
  <c r="U393"/>
  <c r="U582"/>
  <c r="U205"/>
  <c r="U265"/>
  <c r="U457"/>
  <c r="U594"/>
  <c r="U226"/>
  <c r="U315"/>
  <c r="U348"/>
  <c r="U505"/>
  <c r="U639"/>
  <c r="U744"/>
  <c r="U180"/>
  <c r="U365"/>
  <c r="U490"/>
  <c r="U638"/>
  <c r="U820"/>
  <c r="U841"/>
  <c r="U863"/>
  <c r="U884"/>
  <c r="U904"/>
  <c r="U925"/>
  <c r="U947"/>
  <c r="U968"/>
  <c r="U776"/>
  <c r="U790"/>
  <c r="U751"/>
  <c r="U712"/>
  <c r="U665"/>
  <c r="U796"/>
  <c r="U779"/>
  <c r="U754"/>
  <c r="U707"/>
  <c r="U645"/>
  <c r="U942"/>
  <c r="U914"/>
  <c r="U898"/>
  <c r="U882"/>
  <c r="U866"/>
  <c r="U850"/>
  <c r="U834"/>
  <c r="U818"/>
  <c r="U788"/>
  <c r="U746"/>
  <c r="U710"/>
  <c r="U673"/>
  <c r="U962"/>
  <c r="U930"/>
  <c r="U783"/>
  <c r="U756"/>
  <c r="U718"/>
  <c r="U685"/>
  <c r="U631"/>
  <c r="U608"/>
  <c r="U569"/>
  <c r="U544"/>
  <c r="U519"/>
  <c r="U487"/>
  <c r="U450"/>
  <c r="U397"/>
  <c r="U366"/>
  <c r="U269"/>
  <c r="U251"/>
  <c r="U223"/>
  <c r="U186"/>
  <c r="U146"/>
  <c r="U108"/>
  <c r="U77"/>
  <c r="U759"/>
  <c r="U732"/>
  <c r="U719"/>
  <c r="U698"/>
  <c r="U680"/>
  <c r="U664"/>
  <c r="U648"/>
  <c r="U632"/>
  <c r="U607"/>
  <c r="U576"/>
  <c r="U549"/>
  <c r="U527"/>
  <c r="U500"/>
  <c r="U468"/>
  <c r="U422"/>
  <c r="U408"/>
  <c r="U378"/>
  <c r="U346"/>
  <c r="U330"/>
  <c r="U314"/>
  <c r="U298"/>
  <c r="U260"/>
  <c r="U233"/>
  <c r="U207"/>
  <c r="U182"/>
  <c r="U165"/>
  <c r="U129"/>
  <c r="U112"/>
  <c r="U81"/>
  <c r="U606"/>
  <c r="U580"/>
  <c r="U552"/>
  <c r="U529"/>
  <c r="U499"/>
  <c r="U467"/>
  <c r="U444"/>
  <c r="U428"/>
  <c r="U402"/>
  <c r="U386"/>
  <c r="U354"/>
  <c r="U259"/>
  <c r="U239"/>
  <c r="U194"/>
  <c r="U173"/>
  <c r="U138"/>
  <c r="U107"/>
  <c r="U82"/>
  <c r="U615"/>
  <c r="U581"/>
  <c r="U548"/>
  <c r="U525"/>
  <c r="U496"/>
  <c r="U464"/>
  <c r="U437"/>
  <c r="U390"/>
  <c r="U358"/>
  <c r="U277"/>
  <c r="U241"/>
  <c r="U181"/>
  <c r="U137"/>
  <c r="U100"/>
  <c r="L16" i="2"/>
  <c r="K16"/>
  <c r="AF16" s="1"/>
  <c r="AG7" l="1"/>
  <c r="P7"/>
  <c r="O7"/>
  <c r="N7"/>
  <c r="L7"/>
  <c r="AG2"/>
  <c r="AI2" s="1"/>
  <c r="K2"/>
  <c r="AG63"/>
  <c r="AI63" s="1"/>
  <c r="K63"/>
  <c r="AF63" s="1"/>
  <c r="L33"/>
  <c r="N33"/>
  <c r="O33"/>
  <c r="P33"/>
  <c r="L34"/>
  <c r="N34"/>
  <c r="O34"/>
  <c r="P34"/>
  <c r="AI7"/>
  <c r="AB7" l="1"/>
  <c r="AE7"/>
  <c r="AE33"/>
  <c r="AB33"/>
  <c r="AE34"/>
  <c r="AB34"/>
  <c r="AH63"/>
  <c r="AH2"/>
  <c r="AK20"/>
  <c r="AK31"/>
  <c r="AK62"/>
  <c r="AK24"/>
  <c r="AK26"/>
  <c r="AK21"/>
  <c r="AK23"/>
  <c r="AK32"/>
  <c r="AK28"/>
  <c r="AK22"/>
  <c r="AK19"/>
  <c r="AK25"/>
  <c r="AK29"/>
  <c r="AK27"/>
  <c r="AK30"/>
  <c r="AK58"/>
  <c r="AK54"/>
  <c r="AK41"/>
  <c r="AK59"/>
  <c r="AK55"/>
  <c r="AK47"/>
  <c r="AK60"/>
  <c r="AK56"/>
  <c r="AK48"/>
  <c r="AK40"/>
  <c r="AK50"/>
  <c r="AK51"/>
  <c r="AK52"/>
  <c r="AK37"/>
  <c r="AK38"/>
  <c r="AK35"/>
  <c r="AK45"/>
  <c r="AK42"/>
  <c r="AK39"/>
  <c r="AK36"/>
  <c r="AK53"/>
  <c r="AK46"/>
  <c r="AK43"/>
  <c r="AK44"/>
  <c r="AK61"/>
  <c r="AK57"/>
  <c r="AK49"/>
  <c r="AK2"/>
  <c r="AK63"/>
  <c r="AK7"/>
  <c r="AK16"/>
  <c r="AF2"/>
  <c r="AG4"/>
  <c r="AG5"/>
  <c r="AG6"/>
  <c r="AG8"/>
  <c r="AG9"/>
  <c r="AG10"/>
  <c r="AG11"/>
  <c r="AG12"/>
  <c r="AG13"/>
  <c r="AG14"/>
  <c r="AG15"/>
  <c r="AG17"/>
  <c r="AG18"/>
  <c r="AG33"/>
  <c r="AG34"/>
  <c r="AH6"/>
  <c r="AH4"/>
  <c r="AI13"/>
  <c r="AI8"/>
  <c r="AH17"/>
  <c r="AI9"/>
  <c r="AH18"/>
  <c r="AH7"/>
  <c r="AI11"/>
  <c r="AI34"/>
  <c r="AI6"/>
  <c r="AH12"/>
  <c r="AI14"/>
  <c r="AH15"/>
  <c r="AI10"/>
  <c r="AI5"/>
  <c r="AI33"/>
  <c r="M7"/>
  <c r="AD7"/>
  <c r="AD6"/>
  <c r="M6"/>
  <c r="K7" l="1"/>
  <c r="AF7" s="1"/>
  <c r="AG3"/>
  <c r="P6"/>
  <c r="P8"/>
  <c r="P9"/>
  <c r="P10"/>
  <c r="P11"/>
  <c r="P12"/>
  <c r="P13"/>
  <c r="P14"/>
  <c r="P15"/>
  <c r="P17"/>
  <c r="P18"/>
  <c r="O6"/>
  <c r="O8"/>
  <c r="O9"/>
  <c r="O10"/>
  <c r="O11"/>
  <c r="O12"/>
  <c r="O13"/>
  <c r="O14"/>
  <c r="O15"/>
  <c r="O17"/>
  <c r="O18"/>
  <c r="N9"/>
  <c r="N10"/>
  <c r="N11"/>
  <c r="N12"/>
  <c r="N13"/>
  <c r="N14"/>
  <c r="N15"/>
  <c r="N17"/>
  <c r="N18"/>
  <c r="N3"/>
  <c r="N4"/>
  <c r="N5"/>
  <c r="N6"/>
  <c r="N8"/>
  <c r="L10"/>
  <c r="L11"/>
  <c r="L12"/>
  <c r="L13"/>
  <c r="L14"/>
  <c r="L15"/>
  <c r="L17"/>
  <c r="L18"/>
  <c r="L3"/>
  <c r="L4"/>
  <c r="L5"/>
  <c r="L6"/>
  <c r="L8"/>
  <c r="L9"/>
  <c r="K6"/>
  <c r="C3" i="10"/>
  <c r="C4"/>
  <c r="C5"/>
  <c r="C6"/>
  <c r="C7"/>
  <c r="C8"/>
  <c r="C9"/>
  <c r="C2"/>
  <c r="O2" i="8"/>
  <c r="D5"/>
  <c r="P5" s="1"/>
  <c r="Q4"/>
  <c r="P4" s="1"/>
  <c r="O4"/>
  <c r="Q3"/>
  <c r="P3" s="1"/>
  <c r="Q5"/>
  <c r="O5"/>
  <c r="O3"/>
  <c r="Q2"/>
  <c r="P2" s="1"/>
  <c r="N3"/>
  <c r="N4"/>
  <c r="N5"/>
  <c r="N2"/>
  <c r="Q2" i="7"/>
  <c r="R2"/>
  <c r="AH13" i="2"/>
  <c r="AI12"/>
  <c r="AI4"/>
  <c r="AI18"/>
  <c r="AI17"/>
  <c r="AH9"/>
  <c r="AI15"/>
  <c r="AH34"/>
  <c r="AH8"/>
  <c r="AH5"/>
  <c r="AH33"/>
  <c r="AH10"/>
  <c r="AH11"/>
  <c r="AH14"/>
  <c r="AH3"/>
  <c r="AD4"/>
  <c r="AD33"/>
  <c r="M14"/>
  <c r="AD8"/>
  <c r="M5"/>
  <c r="AD17"/>
  <c r="M8"/>
  <c r="M13"/>
  <c r="AD34"/>
  <c r="AD5"/>
  <c r="M9"/>
  <c r="M12"/>
  <c r="M34"/>
  <c r="AD18"/>
  <c r="AD14"/>
  <c r="M17"/>
  <c r="AD9"/>
  <c r="AD11"/>
  <c r="AD13"/>
  <c r="M33"/>
  <c r="M11"/>
  <c r="AD12"/>
  <c r="M4"/>
  <c r="M18"/>
  <c r="AD15"/>
  <c r="M15"/>
  <c r="AD10"/>
  <c r="M10"/>
  <c r="K10" l="1"/>
  <c r="K15"/>
  <c r="K14"/>
  <c r="AF14" s="1"/>
  <c r="K4"/>
  <c r="AF4" s="1"/>
  <c r="K33"/>
  <c r="K5"/>
  <c r="AF5" s="1"/>
  <c r="AB13"/>
  <c r="AB18"/>
  <c r="AB10"/>
  <c r="AB9"/>
  <c r="AB15"/>
  <c r="AB11"/>
  <c r="AB6"/>
  <c r="AB4"/>
  <c r="AB14"/>
  <c r="AB5"/>
  <c r="AB17"/>
  <c r="AB12"/>
  <c r="AB8"/>
  <c r="AB3"/>
  <c r="K9"/>
  <c r="AF9" s="1"/>
  <c r="K8"/>
  <c r="AF8" s="1"/>
  <c r="K12"/>
  <c r="AF12" s="1"/>
  <c r="K34"/>
  <c r="AF34" s="1"/>
  <c r="AE15"/>
  <c r="AE11"/>
  <c r="AE6"/>
  <c r="AE17"/>
  <c r="AE12"/>
  <c r="AE8"/>
  <c r="AE18"/>
  <c r="AE13"/>
  <c r="AE9"/>
  <c r="AE4"/>
  <c r="AE3"/>
  <c r="AE14"/>
  <c r="AE10"/>
  <c r="AE5"/>
  <c r="S2" i="7"/>
  <c r="T204" s="1"/>
  <c r="K2"/>
  <c r="T766"/>
  <c r="T675"/>
  <c r="T339"/>
  <c r="T28"/>
  <c r="T256"/>
  <c r="T768"/>
  <c r="T919"/>
  <c r="T236"/>
  <c r="T620"/>
  <c r="T834"/>
  <c r="T898"/>
  <c r="T930"/>
  <c r="T962"/>
  <c r="T216"/>
  <c r="T344"/>
  <c r="T472"/>
  <c r="T600"/>
  <c r="T728"/>
  <c r="T828"/>
  <c r="T861"/>
  <c r="T893"/>
  <c r="T925"/>
  <c r="T957"/>
  <c r="T208"/>
  <c r="T340"/>
  <c r="T468"/>
  <c r="T532"/>
  <c r="T596"/>
  <c r="T724"/>
  <c r="T788"/>
  <c r="T827"/>
  <c r="T860"/>
  <c r="T876"/>
  <c r="T892"/>
  <c r="T924"/>
  <c r="T940"/>
  <c r="T956"/>
  <c r="T128"/>
  <c r="T64"/>
  <c r="T148"/>
  <c r="T88"/>
  <c r="T825"/>
  <c r="T809"/>
  <c r="T793"/>
  <c r="T777"/>
  <c r="T761"/>
  <c r="T745"/>
  <c r="T729"/>
  <c r="T713"/>
  <c r="T697"/>
  <c r="T681"/>
  <c r="T665"/>
  <c r="T649"/>
  <c r="T633"/>
  <c r="T617"/>
  <c r="T601"/>
  <c r="T585"/>
  <c r="T569"/>
  <c r="T553"/>
  <c r="T537"/>
  <c r="T521"/>
  <c r="T505"/>
  <c r="T489"/>
  <c r="T473"/>
  <c r="T457"/>
  <c r="T441"/>
  <c r="T425"/>
  <c r="T409"/>
  <c r="T393"/>
  <c r="T377"/>
  <c r="T361"/>
  <c r="T345"/>
  <c r="T329"/>
  <c r="T313"/>
  <c r="T297"/>
  <c r="T281"/>
  <c r="T265"/>
  <c r="T249"/>
  <c r="T233"/>
  <c r="T217"/>
  <c r="T201"/>
  <c r="T185"/>
  <c r="T169"/>
  <c r="T153"/>
  <c r="T137"/>
  <c r="T121"/>
  <c r="T105"/>
  <c r="T89"/>
  <c r="T73"/>
  <c r="T57"/>
  <c r="T35"/>
  <c r="T802"/>
  <c r="T786"/>
  <c r="T770"/>
  <c r="T754"/>
  <c r="T738"/>
  <c r="T722"/>
  <c r="T706"/>
  <c r="T690"/>
  <c r="T674"/>
  <c r="T658"/>
  <c r="T642"/>
  <c r="T626"/>
  <c r="T610"/>
  <c r="T594"/>
  <c r="T578"/>
  <c r="T562"/>
  <c r="T546"/>
  <c r="T530"/>
  <c r="T514"/>
  <c r="T498"/>
  <c r="T482"/>
  <c r="T466"/>
  <c r="T450"/>
  <c r="T434"/>
  <c r="T418"/>
  <c r="T402"/>
  <c r="T386"/>
  <c r="T370"/>
  <c r="T354"/>
  <c r="T338"/>
  <c r="T322"/>
  <c r="T306"/>
  <c r="T290"/>
  <c r="T274"/>
  <c r="T258"/>
  <c r="T242"/>
  <c r="T226"/>
  <c r="T210"/>
  <c r="T194"/>
  <c r="T178"/>
  <c r="T162"/>
  <c r="T146"/>
  <c r="T130"/>
  <c r="T114"/>
  <c r="T98"/>
  <c r="T82"/>
  <c r="T66"/>
  <c r="T50"/>
  <c r="T6"/>
  <c r="T807"/>
  <c r="T791"/>
  <c r="T775"/>
  <c r="T759"/>
  <c r="T743"/>
  <c r="T727"/>
  <c r="T711"/>
  <c r="T695"/>
  <c r="T679"/>
  <c r="T663"/>
  <c r="T647"/>
  <c r="T631"/>
  <c r="T615"/>
  <c r="T599"/>
  <c r="T583"/>
  <c r="T567"/>
  <c r="T551"/>
  <c r="T535"/>
  <c r="T519"/>
  <c r="T503"/>
  <c r="T487"/>
  <c r="T471"/>
  <c r="T455"/>
  <c r="T439"/>
  <c r="T423"/>
  <c r="T407"/>
  <c r="T391"/>
  <c r="T375"/>
  <c r="T359"/>
  <c r="T343"/>
  <c r="T327"/>
  <c r="T311"/>
  <c r="T295"/>
  <c r="T279"/>
  <c r="T263"/>
  <c r="T247"/>
  <c r="T231"/>
  <c r="T215"/>
  <c r="T199"/>
  <c r="T183"/>
  <c r="T167"/>
  <c r="T151"/>
  <c r="T135"/>
  <c r="T119"/>
  <c r="T103"/>
  <c r="T87"/>
  <c r="T71"/>
  <c r="T55"/>
  <c r="T27"/>
  <c r="T32"/>
  <c r="T16"/>
  <c r="T41"/>
  <c r="T25"/>
  <c r="T8"/>
  <c r="T30"/>
  <c r="T14"/>
  <c r="T240"/>
  <c r="T304"/>
  <c r="T368"/>
  <c r="T432"/>
  <c r="T496"/>
  <c r="T560"/>
  <c r="T624"/>
  <c r="T688"/>
  <c r="T752"/>
  <c r="T812"/>
  <c r="T835"/>
  <c r="T851"/>
  <c r="T867"/>
  <c r="T883"/>
  <c r="T899"/>
  <c r="T915"/>
  <c r="T931"/>
  <c r="T947"/>
  <c r="T963"/>
  <c r="T220"/>
  <c r="T284"/>
  <c r="T348"/>
  <c r="T412"/>
  <c r="T476"/>
  <c r="T540"/>
  <c r="T604"/>
  <c r="T668"/>
  <c r="T732"/>
  <c r="T796"/>
  <c r="T830"/>
  <c r="T846"/>
  <c r="T862"/>
  <c r="T878"/>
  <c r="T894"/>
  <c r="T910"/>
  <c r="T926"/>
  <c r="T942"/>
  <c r="T958"/>
  <c r="T136"/>
  <c r="T188"/>
  <c r="T264"/>
  <c r="T328"/>
  <c r="T392"/>
  <c r="T456"/>
  <c r="T520"/>
  <c r="T584"/>
  <c r="T648"/>
  <c r="T712"/>
  <c r="T776"/>
  <c r="T823"/>
  <c r="T841"/>
  <c r="T857"/>
  <c r="T873"/>
  <c r="T889"/>
  <c r="T905"/>
  <c r="T921"/>
  <c r="T937"/>
  <c r="T953"/>
  <c r="T969"/>
  <c r="T260"/>
  <c r="T324"/>
  <c r="T388"/>
  <c r="T452"/>
  <c r="T516"/>
  <c r="T580"/>
  <c r="T644"/>
  <c r="T708"/>
  <c r="T772"/>
  <c r="T822"/>
  <c r="T840"/>
  <c r="T856"/>
  <c r="T872"/>
  <c r="T888"/>
  <c r="T904"/>
  <c r="T920"/>
  <c r="T936"/>
  <c r="T952"/>
  <c r="T968"/>
  <c r="T180"/>
  <c r="T144"/>
  <c r="T80"/>
  <c r="T164"/>
  <c r="T100"/>
  <c r="T11"/>
  <c r="T829"/>
  <c r="T813"/>
  <c r="T797"/>
  <c r="T781"/>
  <c r="T765"/>
  <c r="T749"/>
  <c r="T733"/>
  <c r="T717"/>
  <c r="T701"/>
  <c r="T685"/>
  <c r="T669"/>
  <c r="T653"/>
  <c r="T637"/>
  <c r="T621"/>
  <c r="T605"/>
  <c r="T589"/>
  <c r="T573"/>
  <c r="T557"/>
  <c r="T541"/>
  <c r="T525"/>
  <c r="T509"/>
  <c r="T493"/>
  <c r="T477"/>
  <c r="T461"/>
  <c r="T445"/>
  <c r="T429"/>
  <c r="T413"/>
  <c r="T397"/>
  <c r="T381"/>
  <c r="T365"/>
  <c r="T349"/>
  <c r="T333"/>
  <c r="T317"/>
  <c r="T301"/>
  <c r="T285"/>
  <c r="T269"/>
  <c r="T253"/>
  <c r="T237"/>
  <c r="T221"/>
  <c r="T205"/>
  <c r="T189"/>
  <c r="T173"/>
  <c r="T157"/>
  <c r="T141"/>
  <c r="T125"/>
  <c r="T109"/>
  <c r="T93"/>
  <c r="T77"/>
  <c r="T61"/>
  <c r="T45"/>
  <c r="T806"/>
  <c r="T790"/>
  <c r="T774"/>
  <c r="T758"/>
  <c r="T742"/>
  <c r="T726"/>
  <c r="T710"/>
  <c r="T694"/>
  <c r="T678"/>
  <c r="T662"/>
  <c r="T646"/>
  <c r="T630"/>
  <c r="T614"/>
  <c r="T598"/>
  <c r="T582"/>
  <c r="T566"/>
  <c r="T550"/>
  <c r="T534"/>
  <c r="T518"/>
  <c r="T502"/>
  <c r="T486"/>
  <c r="T470"/>
  <c r="T454"/>
  <c r="T438"/>
  <c r="T422"/>
  <c r="T406"/>
  <c r="T390"/>
  <c r="T374"/>
  <c r="T358"/>
  <c r="T342"/>
  <c r="T326"/>
  <c r="T310"/>
  <c r="T294"/>
  <c r="T278"/>
  <c r="T262"/>
  <c r="T246"/>
  <c r="T230"/>
  <c r="T214"/>
  <c r="T198"/>
  <c r="T182"/>
  <c r="T166"/>
  <c r="T150"/>
  <c r="T134"/>
  <c r="T118"/>
  <c r="T102"/>
  <c r="T86"/>
  <c r="T70"/>
  <c r="T54"/>
  <c r="T811"/>
  <c r="T795"/>
  <c r="T779"/>
  <c r="T763"/>
  <c r="T747"/>
  <c r="T731"/>
  <c r="T715"/>
  <c r="T699"/>
  <c r="T683"/>
  <c r="T667"/>
  <c r="T651"/>
  <c r="T635"/>
  <c r="T619"/>
  <c r="T603"/>
  <c r="T587"/>
  <c r="T571"/>
  <c r="T555"/>
  <c r="T539"/>
  <c r="T523"/>
  <c r="T507"/>
  <c r="T491"/>
  <c r="T475"/>
  <c r="T459"/>
  <c r="T443"/>
  <c r="T427"/>
  <c r="T411"/>
  <c r="T395"/>
  <c r="T379"/>
  <c r="T363"/>
  <c r="T347"/>
  <c r="T331"/>
  <c r="T315"/>
  <c r="T299"/>
  <c r="T283"/>
  <c r="T267"/>
  <c r="T251"/>
  <c r="T235"/>
  <c r="T219"/>
  <c r="T203"/>
  <c r="T187"/>
  <c r="T171"/>
  <c r="T155"/>
  <c r="T139"/>
  <c r="T123"/>
  <c r="T107"/>
  <c r="T91"/>
  <c r="T75"/>
  <c r="T59"/>
  <c r="T42"/>
  <c r="T36"/>
  <c r="T20"/>
  <c r="T5"/>
  <c r="T29"/>
  <c r="T13"/>
  <c r="T34"/>
  <c r="T18"/>
  <c r="T288"/>
  <c r="T352"/>
  <c r="T416"/>
  <c r="T480"/>
  <c r="T544"/>
  <c r="T608"/>
  <c r="T672"/>
  <c r="T736"/>
  <c r="T800"/>
  <c r="T831"/>
  <c r="T847"/>
  <c r="T863"/>
  <c r="T879"/>
  <c r="T895"/>
  <c r="T911"/>
  <c r="T927"/>
  <c r="T943"/>
  <c r="T959"/>
  <c r="T200"/>
  <c r="T268"/>
  <c r="T332"/>
  <c r="T396"/>
  <c r="T460"/>
  <c r="T524"/>
  <c r="T588"/>
  <c r="T652"/>
  <c r="T716"/>
  <c r="T780"/>
  <c r="T824"/>
  <c r="T842"/>
  <c r="T858"/>
  <c r="T874"/>
  <c r="T890"/>
  <c r="T906"/>
  <c r="T922"/>
  <c r="T938"/>
  <c r="T954"/>
  <c r="T2"/>
  <c r="T156"/>
  <c r="T248"/>
  <c r="T312"/>
  <c r="T376"/>
  <c r="T440"/>
  <c r="T504"/>
  <c r="T568"/>
  <c r="T632"/>
  <c r="T696"/>
  <c r="T760"/>
  <c r="T816"/>
  <c r="T837"/>
  <c r="T853"/>
  <c r="T869"/>
  <c r="T885"/>
  <c r="T901"/>
  <c r="T917"/>
  <c r="T933"/>
  <c r="T949"/>
  <c r="T965"/>
  <c r="T152"/>
  <c r="T244"/>
  <c r="T308"/>
  <c r="T372"/>
  <c r="T436"/>
  <c r="T500"/>
  <c r="T564"/>
  <c r="T628"/>
  <c r="T692"/>
  <c r="T756"/>
  <c r="T814"/>
  <c r="T836"/>
  <c r="T852"/>
  <c r="T868"/>
  <c r="T884"/>
  <c r="T900"/>
  <c r="T916"/>
  <c r="T932"/>
  <c r="T948"/>
  <c r="T964"/>
  <c r="T96"/>
  <c r="T116"/>
  <c r="T52"/>
  <c r="T56"/>
  <c r="T817"/>
  <c r="T801"/>
  <c r="T785"/>
  <c r="T769"/>
  <c r="T753"/>
  <c r="T737"/>
  <c r="T721"/>
  <c r="T705"/>
  <c r="T689"/>
  <c r="T673"/>
  <c r="T657"/>
  <c r="T641"/>
  <c r="T625"/>
  <c r="T609"/>
  <c r="T593"/>
  <c r="T577"/>
  <c r="T561"/>
  <c r="T545"/>
  <c r="T529"/>
  <c r="T513"/>
  <c r="T497"/>
  <c r="T481"/>
  <c r="T465"/>
  <c r="T449"/>
  <c r="T433"/>
  <c r="T417"/>
  <c r="T401"/>
  <c r="T385"/>
  <c r="T369"/>
  <c r="T353"/>
  <c r="T337"/>
  <c r="T321"/>
  <c r="T305"/>
  <c r="T289"/>
  <c r="T273"/>
  <c r="T257"/>
  <c r="T241"/>
  <c r="T225"/>
  <c r="T209"/>
  <c r="T193"/>
  <c r="T177"/>
  <c r="T161"/>
  <c r="T145"/>
  <c r="T129"/>
  <c r="T113"/>
  <c r="T97"/>
  <c r="T81"/>
  <c r="T65"/>
  <c r="T49"/>
  <c r="T4"/>
  <c r="T794"/>
  <c r="T778"/>
  <c r="T762"/>
  <c r="T746"/>
  <c r="T730"/>
  <c r="T714"/>
  <c r="T698"/>
  <c r="T682"/>
  <c r="T666"/>
  <c r="T650"/>
  <c r="T634"/>
  <c r="T618"/>
  <c r="T602"/>
  <c r="T586"/>
  <c r="T570"/>
  <c r="T554"/>
  <c r="T538"/>
  <c r="T522"/>
  <c r="T506"/>
  <c r="T490"/>
  <c r="T474"/>
  <c r="T458"/>
  <c r="T442"/>
  <c r="T426"/>
  <c r="T410"/>
  <c r="T394"/>
  <c r="T378"/>
  <c r="T362"/>
  <c r="T346"/>
  <c r="T330"/>
  <c r="T314"/>
  <c r="T298"/>
  <c r="T282"/>
  <c r="T266"/>
  <c r="T250"/>
  <c r="T234"/>
  <c r="T218"/>
  <c r="T202"/>
  <c r="T186"/>
  <c r="T170"/>
  <c r="T154"/>
  <c r="T138"/>
  <c r="T122"/>
  <c r="T106"/>
  <c r="T90"/>
  <c r="T74"/>
  <c r="T58"/>
  <c r="T39"/>
  <c r="T815"/>
  <c r="T799"/>
  <c r="T783"/>
  <c r="T767"/>
  <c r="T751"/>
  <c r="T735"/>
  <c r="T719"/>
  <c r="T703"/>
  <c r="T687"/>
  <c r="T671"/>
  <c r="T655"/>
  <c r="T639"/>
  <c r="T623"/>
  <c r="T607"/>
  <c r="T591"/>
  <c r="T575"/>
  <c r="T559"/>
  <c r="T543"/>
  <c r="T527"/>
  <c r="T511"/>
  <c r="T495"/>
  <c r="T479"/>
  <c r="T463"/>
  <c r="T447"/>
  <c r="T431"/>
  <c r="T415"/>
  <c r="T399"/>
  <c r="T383"/>
  <c r="T367"/>
  <c r="T351"/>
  <c r="T335"/>
  <c r="T319"/>
  <c r="T303"/>
  <c r="T287"/>
  <c r="T271"/>
  <c r="T255"/>
  <c r="T239"/>
  <c r="T223"/>
  <c r="T207"/>
  <c r="T191"/>
  <c r="T175"/>
  <c r="T159"/>
  <c r="T143"/>
  <c r="T127"/>
  <c r="T111"/>
  <c r="T95"/>
  <c r="T79"/>
  <c r="T63"/>
  <c r="T47"/>
  <c r="T40"/>
  <c r="T24"/>
  <c r="T7"/>
  <c r="T33"/>
  <c r="T17"/>
  <c r="T38"/>
  <c r="T22"/>
  <c r="T9"/>
  <c r="T224"/>
  <c r="T140"/>
  <c r="T31"/>
  <c r="T76"/>
  <c r="T192"/>
  <c r="T60"/>
  <c r="T160"/>
  <c r="T23"/>
  <c r="T184"/>
  <c r="AF33" i="2"/>
  <c r="AF15"/>
  <c r="AF10"/>
  <c r="AF6"/>
  <c r="K17"/>
  <c r="K18"/>
  <c r="K13"/>
  <c r="K11"/>
  <c r="AI3"/>
  <c r="M3"/>
  <c r="AD3"/>
  <c r="T84" i="7" l="1"/>
  <c r="T120"/>
  <c r="T908"/>
  <c r="T844"/>
  <c r="T660"/>
  <c r="T404"/>
  <c r="T196"/>
  <c r="T909"/>
  <c r="T845"/>
  <c r="T664"/>
  <c r="T408"/>
  <c r="T43"/>
  <c r="T914"/>
  <c r="T850"/>
  <c r="T684"/>
  <c r="T364"/>
  <c r="T935"/>
  <c r="T839"/>
  <c r="T384"/>
  <c r="T21"/>
  <c r="T243"/>
  <c r="T595"/>
  <c r="T414"/>
  <c r="T866"/>
  <c r="T748"/>
  <c r="T428"/>
  <c r="T967"/>
  <c r="T871"/>
  <c r="T512"/>
  <c r="T26"/>
  <c r="T163"/>
  <c r="T499"/>
  <c r="T206"/>
  <c r="T68"/>
  <c r="T276"/>
  <c r="T941"/>
  <c r="T877"/>
  <c r="T792"/>
  <c r="T536"/>
  <c r="T280"/>
  <c r="T946"/>
  <c r="T882"/>
  <c r="T810"/>
  <c r="T492"/>
  <c r="T124"/>
  <c r="T903"/>
  <c r="T640"/>
  <c r="T104"/>
  <c r="T83"/>
  <c r="T419"/>
  <c r="T819"/>
  <c r="T341"/>
  <c r="AN2" i="2"/>
  <c r="AN4" s="1"/>
  <c r="AN5" s="1"/>
  <c r="K3"/>
  <c r="AF3" s="1"/>
  <c r="T556" i="7"/>
  <c r="T300"/>
  <c r="T951"/>
  <c r="T887"/>
  <c r="T820"/>
  <c r="T576"/>
  <c r="T320"/>
  <c r="T10"/>
  <c r="T37"/>
  <c r="T147"/>
  <c r="T307"/>
  <c r="T483"/>
  <c r="T659"/>
  <c r="T126"/>
  <c r="T590"/>
  <c r="T565"/>
  <c r="T232"/>
  <c r="T855"/>
  <c r="T704"/>
  <c r="T448"/>
  <c r="T172"/>
  <c r="T3"/>
  <c r="T51"/>
  <c r="T227"/>
  <c r="T403"/>
  <c r="T563"/>
  <c r="T739"/>
  <c r="T286"/>
  <c r="T149"/>
  <c r="T292"/>
  <c r="T44"/>
  <c r="T115"/>
  <c r="T211"/>
  <c r="T291"/>
  <c r="T371"/>
  <c r="T467"/>
  <c r="T547"/>
  <c r="T627"/>
  <c r="T723"/>
  <c r="T803"/>
  <c r="T94"/>
  <c r="T190"/>
  <c r="T270"/>
  <c r="T398"/>
  <c r="T574"/>
  <c r="T734"/>
  <c r="T133"/>
  <c r="T309"/>
  <c r="T533"/>
  <c r="T821"/>
  <c r="T548"/>
  <c r="T424"/>
  <c r="T99"/>
  <c r="T179"/>
  <c r="T275"/>
  <c r="T355"/>
  <c r="T435"/>
  <c r="T531"/>
  <c r="T611"/>
  <c r="T691"/>
  <c r="T787"/>
  <c r="T78"/>
  <c r="T158"/>
  <c r="T254"/>
  <c r="T334"/>
  <c r="T510"/>
  <c r="T670"/>
  <c r="T69"/>
  <c r="T245"/>
  <c r="T453"/>
  <c r="T693"/>
  <c r="T880"/>
  <c r="T849"/>
  <c r="T955"/>
  <c r="T755"/>
  <c r="T62"/>
  <c r="T142"/>
  <c r="T222"/>
  <c r="T318"/>
  <c r="T478"/>
  <c r="T654"/>
  <c r="T53"/>
  <c r="T213"/>
  <c r="T437"/>
  <c r="T645"/>
  <c r="T912"/>
  <c r="T881"/>
  <c r="T572"/>
  <c r="T382"/>
  <c r="T462"/>
  <c r="T542"/>
  <c r="T638"/>
  <c r="T718"/>
  <c r="T798"/>
  <c r="T117"/>
  <c r="T197"/>
  <c r="T277"/>
  <c r="T389"/>
  <c r="T517"/>
  <c r="T629"/>
  <c r="T757"/>
  <c r="T944"/>
  <c r="T676"/>
  <c r="T945"/>
  <c r="T552"/>
  <c r="T818"/>
  <c r="T528"/>
  <c r="T350"/>
  <c r="T446"/>
  <c r="T526"/>
  <c r="T606"/>
  <c r="T702"/>
  <c r="T782"/>
  <c r="T85"/>
  <c r="T181"/>
  <c r="T261"/>
  <c r="T373"/>
  <c r="T469"/>
  <c r="T597"/>
  <c r="T725"/>
  <c r="T48"/>
  <c r="T804"/>
  <c r="T92"/>
  <c r="T808"/>
  <c r="T886"/>
  <c r="T891"/>
  <c r="T325"/>
  <c r="T405"/>
  <c r="T501"/>
  <c r="T581"/>
  <c r="T661"/>
  <c r="T789"/>
  <c r="T176"/>
  <c r="T848"/>
  <c r="T420"/>
  <c r="T913"/>
  <c r="T680"/>
  <c r="T950"/>
  <c r="T316"/>
  <c r="T12"/>
  <c r="T67"/>
  <c r="T131"/>
  <c r="T195"/>
  <c r="T259"/>
  <c r="T323"/>
  <c r="T387"/>
  <c r="T451"/>
  <c r="T515"/>
  <c r="T579"/>
  <c r="T643"/>
  <c r="T707"/>
  <c r="T771"/>
  <c r="T46"/>
  <c r="T110"/>
  <c r="T174"/>
  <c r="T238"/>
  <c r="T302"/>
  <c r="T366"/>
  <c r="T430"/>
  <c r="T494"/>
  <c r="T558"/>
  <c r="T622"/>
  <c r="T686"/>
  <c r="T750"/>
  <c r="T19"/>
  <c r="T101"/>
  <c r="T165"/>
  <c r="T229"/>
  <c r="T293"/>
  <c r="T357"/>
  <c r="T421"/>
  <c r="T485"/>
  <c r="T549"/>
  <c r="T613"/>
  <c r="T677"/>
  <c r="T741"/>
  <c r="T805"/>
  <c r="T132"/>
  <c r="T960"/>
  <c r="T896"/>
  <c r="T832"/>
  <c r="T612"/>
  <c r="T356"/>
  <c r="T961"/>
  <c r="T897"/>
  <c r="T833"/>
  <c r="T616"/>
  <c r="T296"/>
  <c r="T934"/>
  <c r="T764"/>
  <c r="T252"/>
  <c r="T826"/>
  <c r="T709"/>
  <c r="T773"/>
  <c r="T72"/>
  <c r="T112"/>
  <c r="T928"/>
  <c r="T864"/>
  <c r="T740"/>
  <c r="T484"/>
  <c r="T228"/>
  <c r="T929"/>
  <c r="T865"/>
  <c r="T744"/>
  <c r="T488"/>
  <c r="T108"/>
  <c r="T870"/>
  <c r="T508"/>
  <c r="T939"/>
  <c r="T875"/>
  <c r="T784"/>
  <c r="T464"/>
  <c r="T360"/>
  <c r="T966"/>
  <c r="T902"/>
  <c r="T838"/>
  <c r="T636"/>
  <c r="T380"/>
  <c r="T15"/>
  <c r="T907"/>
  <c r="T843"/>
  <c r="T656"/>
  <c r="T918"/>
  <c r="T854"/>
  <c r="T700"/>
  <c r="T444"/>
  <c r="T168"/>
  <c r="T923"/>
  <c r="T859"/>
  <c r="T720"/>
  <c r="T272"/>
  <c r="T592"/>
  <c r="T336"/>
  <c r="T400"/>
  <c r="T212"/>
  <c r="AF17" i="2"/>
  <c r="AF11"/>
  <c r="AF18"/>
  <c r="AF13"/>
  <c r="AK4" l="1"/>
  <c r="AK8"/>
  <c r="AK5"/>
  <c r="AK15"/>
  <c r="AK6"/>
  <c r="AK3"/>
  <c r="AK12"/>
  <c r="AK33"/>
  <c r="AK9"/>
  <c r="AK10"/>
  <c r="AK34"/>
  <c r="AK14"/>
  <c r="AK17"/>
  <c r="AK18"/>
  <c r="AK13"/>
  <c r="AK11"/>
</calcChain>
</file>

<file path=xl/sharedStrings.xml><?xml version="1.0" encoding="utf-8"?>
<sst xmlns="http://schemas.openxmlformats.org/spreadsheetml/2006/main" count="5328" uniqueCount="215">
  <si>
    <t>S</t>
  </si>
  <si>
    <t>Package</t>
  </si>
  <si>
    <t>Case Height</t>
  </si>
  <si>
    <t>Case Diameter</t>
  </si>
  <si>
    <t>Lead Diameter</t>
  </si>
  <si>
    <t>Bottom Indent Width</t>
  </si>
  <si>
    <t>Lead Spacing</t>
  </si>
  <si>
    <t>Bottom Indent Offset</t>
  </si>
  <si>
    <t>Sleeve Thickness</t>
  </si>
  <si>
    <t>Lead Length Positive</t>
  </si>
  <si>
    <t>Lead Length Negative</t>
  </si>
  <si>
    <t>CA</t>
  </si>
  <si>
    <t>TA</t>
  </si>
  <si>
    <t>Black</t>
  </si>
  <si>
    <t>Green Dark</t>
  </si>
  <si>
    <t>Gold</t>
  </si>
  <si>
    <t>Case Thickness</t>
  </si>
  <si>
    <t>Stand Off</t>
  </si>
  <si>
    <t>Value</t>
  </si>
  <si>
    <t>Lead Configuration</t>
  </si>
  <si>
    <t>Green</t>
  </si>
  <si>
    <t>Lead Extend Length</t>
  </si>
  <si>
    <t>ID</t>
  </si>
  <si>
    <t>Voltage</t>
  </si>
  <si>
    <t>DValue</t>
  </si>
  <si>
    <t>DVoltage</t>
  </si>
  <si>
    <t>Lead Spacing (mm)</t>
  </si>
  <si>
    <t>BlurryReflection</t>
  </si>
  <si>
    <t>Color</t>
  </si>
  <si>
    <t>Diffuse</t>
  </si>
  <si>
    <t>DoubleSided</t>
  </si>
  <si>
    <t>Luminous</t>
  </si>
  <si>
    <t>Reflection</t>
  </si>
  <si>
    <t>RoundSharpEdges</t>
  </si>
  <si>
    <t>Specular</t>
  </si>
  <si>
    <t>SpecularColor</t>
  </si>
  <si>
    <t>SpecularSpread</t>
  </si>
  <si>
    <t>Transparent</t>
  </si>
  <si>
    <t>Grey Light</t>
  </si>
  <si>
    <t>Sleeve</t>
  </si>
  <si>
    <t>HexTriplet</t>
  </si>
  <si>
    <t>R</t>
  </si>
  <si>
    <t>G</t>
  </si>
  <si>
    <t>B</t>
  </si>
  <si>
    <t>C:\Users\Chris\Documents\Electronics\Solidworks\Misc Parts\Electrolytic Cap\</t>
  </si>
  <si>
    <t>Manufacturer</t>
  </si>
  <si>
    <t>Series</t>
  </si>
  <si>
    <t>Jamicon</t>
  </si>
  <si>
    <t>SK</t>
  </si>
  <si>
    <t>Hitano</t>
  </si>
  <si>
    <t>ECR</t>
  </si>
  <si>
    <t>Yihcon</t>
  </si>
  <si>
    <t>EXR</t>
  </si>
  <si>
    <t>WL</t>
  </si>
  <si>
    <t>HEC</t>
  </si>
  <si>
    <t>LS</t>
  </si>
  <si>
    <t>KX</t>
  </si>
  <si>
    <t>Nichicon</t>
  </si>
  <si>
    <t>Mount Type</t>
  </si>
  <si>
    <t>RADIAL</t>
  </si>
  <si>
    <t>Taping</t>
  </si>
  <si>
    <t>F</t>
  </si>
  <si>
    <t>dψ</t>
  </si>
  <si>
    <t>DΦ</t>
  </si>
  <si>
    <t>TM1</t>
  </si>
  <si>
    <t>TM2</t>
  </si>
  <si>
    <t>Package Exist?</t>
  </si>
  <si>
    <t>Lead Spacing (tbl)</t>
  </si>
  <si>
    <t>5x11</t>
  </si>
  <si>
    <t>6.3x11</t>
  </si>
  <si>
    <t>6.3X11</t>
  </si>
  <si>
    <t>8x12</t>
  </si>
  <si>
    <t>10x13</t>
  </si>
  <si>
    <t>8x14</t>
  </si>
  <si>
    <t>10x16</t>
  </si>
  <si>
    <t>10x21</t>
  </si>
  <si>
    <t>13x21</t>
  </si>
  <si>
    <t>13x26</t>
  </si>
  <si>
    <t>16x26</t>
  </si>
  <si>
    <t>16x36</t>
  </si>
  <si>
    <t>18x36</t>
  </si>
  <si>
    <t>16x32</t>
  </si>
  <si>
    <t>22x41</t>
  </si>
  <si>
    <t>25x41</t>
  </si>
  <si>
    <t>18x41</t>
  </si>
  <si>
    <t>22x36</t>
  </si>
  <si>
    <t>25x50</t>
  </si>
  <si>
    <t>18X41</t>
  </si>
  <si>
    <r>
      <rPr>
        <b/>
        <sz val="11"/>
        <color theme="1"/>
        <rFont val="Calibri"/>
        <family val="2"/>
      </rPr>
      <t>ø</t>
    </r>
    <r>
      <rPr>
        <b/>
        <sz val="11"/>
        <color theme="1"/>
        <rFont val="Calibri"/>
        <family val="2"/>
        <scheme val="minor"/>
      </rPr>
      <t>D</t>
    </r>
  </si>
  <si>
    <t>d</t>
  </si>
  <si>
    <t>α</t>
  </si>
  <si>
    <t>Case Height Tolerance</t>
  </si>
  <si>
    <t>10x12.5</t>
  </si>
  <si>
    <t>10x18</t>
  </si>
  <si>
    <t>10x20</t>
  </si>
  <si>
    <t>12.5x20</t>
  </si>
  <si>
    <t>12.5x25</t>
  </si>
  <si>
    <t>16x25</t>
  </si>
  <si>
    <t>16x31.5</t>
  </si>
  <si>
    <t>16x35.5</t>
  </si>
  <si>
    <t>18x35.5</t>
  </si>
  <si>
    <t>18x40</t>
  </si>
  <si>
    <t>22x30</t>
  </si>
  <si>
    <t>22x35</t>
  </si>
  <si>
    <t>22x40</t>
  </si>
  <si>
    <t>22x45</t>
  </si>
  <si>
    <t>22x50</t>
  </si>
  <si>
    <t>25x45</t>
  </si>
  <si>
    <t>8x11.5</t>
  </si>
  <si>
    <t>Lead Table Header</t>
  </si>
  <si>
    <t>Lead Table</t>
  </si>
  <si>
    <t>Lead Table Row</t>
  </si>
  <si>
    <t>Datasheet Dimensions</t>
  </si>
  <si>
    <t>8x16</t>
  </si>
  <si>
    <t>18x32</t>
  </si>
  <si>
    <t>10.1x35</t>
  </si>
  <si>
    <t>25.2x51.4</t>
  </si>
  <si>
    <t>#Instances</t>
  </si>
  <si>
    <t>5x15</t>
  </si>
  <si>
    <t>6.3x15</t>
  </si>
  <si>
    <t>8x15</t>
  </si>
  <si>
    <t>8x20</t>
  </si>
  <si>
    <t>12.5x15</t>
  </si>
  <si>
    <t>10x25</t>
  </si>
  <si>
    <t>12.5x18</t>
  </si>
  <si>
    <t>10x28</t>
  </si>
  <si>
    <t>16x15</t>
  </si>
  <si>
    <t>18x15</t>
  </si>
  <si>
    <t>12.5x30</t>
  </si>
  <si>
    <t>16x20</t>
  </si>
  <si>
    <t>12.5x35</t>
  </si>
  <si>
    <t>12.5x40</t>
  </si>
  <si>
    <t>18x20</t>
  </si>
  <si>
    <t>18x25</t>
  </si>
  <si>
    <t>18x31.5</t>
  </si>
  <si>
    <t>10x30</t>
  </si>
  <si>
    <t>25x51</t>
  </si>
  <si>
    <t>10x35</t>
  </si>
  <si>
    <t>#ID Instances</t>
  </si>
  <si>
    <t>Text Vertical Pitch</t>
  </si>
  <si>
    <t>Text Direction</t>
  </si>
  <si>
    <t>Length</t>
  </si>
  <si>
    <t>Circular</t>
  </si>
  <si>
    <t>Text Line 1</t>
  </si>
  <si>
    <t>Text Line 2</t>
  </si>
  <si>
    <t>Text Line 3</t>
  </si>
  <si>
    <t>Text Line 4</t>
  </si>
  <si>
    <t>TM</t>
  </si>
  <si>
    <t>Aluminium</t>
  </si>
  <si>
    <t>Rubber</t>
  </si>
  <si>
    <t>Stainless Steel</t>
  </si>
  <si>
    <t>Key</t>
  </si>
  <si>
    <t>Folder</t>
  </si>
  <si>
    <t>Colour Sleeve</t>
  </si>
  <si>
    <t>Colour Decal</t>
  </si>
  <si>
    <t>Colour Case</t>
  </si>
  <si>
    <t>Colour Seal</t>
  </si>
  <si>
    <t>Colour Lead</t>
  </si>
  <si>
    <t>Indicator Negative</t>
  </si>
  <si>
    <t>File Sleeve</t>
  </si>
  <si>
    <t>File Decal</t>
  </si>
  <si>
    <t>File Case</t>
  </si>
  <si>
    <t>File Seal</t>
  </si>
  <si>
    <t>File Lead</t>
  </si>
  <si>
    <t>Text Height Value</t>
  </si>
  <si>
    <t>Text Height Manufacturer</t>
  </si>
  <si>
    <t>Text Height Series</t>
  </si>
  <si>
    <t>Bold, Italic</t>
  </si>
  <si>
    <t>Format Manufacturer</t>
  </si>
  <si>
    <t>Format Value</t>
  </si>
  <si>
    <t>Format Series</t>
  </si>
  <si>
    <t>Font Manufacturer</t>
  </si>
  <si>
    <t>Times New Roman</t>
  </si>
  <si>
    <t>Font Value</t>
  </si>
  <si>
    <t>Font Series</t>
  </si>
  <si>
    <t>Arial Unicode MS</t>
  </si>
  <si>
    <t>Normal</t>
  </si>
  <si>
    <t>Appearance Key</t>
  </si>
  <si>
    <t>Bold, Justified</t>
  </si>
  <si>
    <t>NB: Justified = same width as Value Text</t>
  </si>
  <si>
    <t>Justified</t>
  </si>
  <si>
    <t>Arial Rounded MT</t>
  </si>
  <si>
    <t>Stretch Manufacturer</t>
  </si>
  <si>
    <t>Stretch Value</t>
  </si>
  <si>
    <t>Stretch Series</t>
  </si>
  <si>
    <t>Bauhaus 93</t>
  </si>
  <si>
    <t>Text Count Value</t>
  </si>
  <si>
    <t>Text Count Manufacturer</t>
  </si>
  <si>
    <t>Text Count Series</t>
  </si>
  <si>
    <t>Text Count Type Value</t>
  </si>
  <si>
    <t>Text Count Type Manufacturer</t>
  </si>
  <si>
    <t>Text Count Type Series</t>
  </si>
  <si>
    <t>TextRepeatTypes</t>
  </si>
  <si>
    <t>rptNone</t>
  </si>
  <si>
    <t>rptOverExtentThenFit</t>
  </si>
  <si>
    <t>rptNumberIsMinimum</t>
  </si>
  <si>
    <t xml:space="preserve">rptNumberOfTimes </t>
  </si>
  <si>
    <t xml:space="preserve">rptNumberOfTimesOfLineNo </t>
  </si>
  <si>
    <t xml:space="preserve">rptOverExtent </t>
  </si>
  <si>
    <t xml:space="preserve">rptTextMASK </t>
  </si>
  <si>
    <t xml:space="preserve">rptUntilExtent </t>
  </si>
  <si>
    <t xml:space="preserve">rptUntilExtentThenFit </t>
  </si>
  <si>
    <t xml:space="preserve">rptMinUntilExtent </t>
  </si>
  <si>
    <t xml:space="preserve">rptMinUntilExtentThenFit </t>
  </si>
  <si>
    <t xml:space="preserve">rptMinOverExtent </t>
  </si>
  <si>
    <t>rptMinOverExtentThenFit</t>
  </si>
  <si>
    <t xml:space="preserve">rptMinNumberOfTimes </t>
  </si>
  <si>
    <t xml:space="preserve">rptMinNumberOfTimesOfLineNo </t>
  </si>
  <si>
    <t>Text Count Value Max</t>
  </si>
  <si>
    <t>HITANO</t>
  </si>
  <si>
    <t>Myriad Pro</t>
  </si>
  <si>
    <t>Text Separation Spaces</t>
  </si>
  <si>
    <t>Text Count Series Max</t>
  </si>
  <si>
    <t>Text Count Manufacturer Max</t>
  </si>
  <si>
    <t>Tolerance</t>
  </si>
</sst>
</file>

<file path=xl/styles.xml><?xml version="1.0" encoding="utf-8"?>
<styleSheet xmlns="http://schemas.openxmlformats.org/spreadsheetml/2006/main">
  <numFmts count="8">
    <numFmt numFmtId="164" formatCode="0.0###&quot; mm&quot;"/>
    <numFmt numFmtId="165" formatCode="General\ &quot; µF&quot;"/>
    <numFmt numFmtId="166" formatCode="General&quot;µF&quot;"/>
    <numFmt numFmtId="167" formatCode="General&quot;v&quot;"/>
    <numFmt numFmtId="168" formatCode="0.0&quot; mm&quot;"/>
    <numFmt numFmtId="169" formatCode="###0.0;###0.0"/>
    <numFmt numFmtId="170" formatCode="###0;###0"/>
    <numFmt numFmtId="171" formatCode="0.0#&quot; mm&quot;"/>
  </numFmts>
  <fonts count="12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0"/>
      <color rgb="FF000000"/>
      <name val="Times New Roman"/>
      <charset val="204"/>
    </font>
    <font>
      <sz val="8"/>
      <color rgb="FF231F20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Adobe Fan Heiti Std B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9" fontId="10" fillId="0" borderId="0" applyFont="0" applyFill="0" applyBorder="0" applyAlignment="0" applyProtection="0"/>
  </cellStyleXfs>
  <cellXfs count="67">
    <xf numFmtId="0" fontId="0" fillId="0" borderId="0" xfId="0"/>
    <xf numFmtId="49" fontId="0" fillId="0" borderId="0" xfId="0" applyNumberFormat="1" applyAlignment="1">
      <alignment textRotation="90"/>
    </xf>
    <xf numFmtId="0" fontId="0" fillId="2" borderId="0" xfId="0" applyNumberFormat="1" applyFill="1"/>
    <xf numFmtId="164" fontId="0" fillId="0" borderId="0" xfId="0" applyNumberFormat="1"/>
    <xf numFmtId="164" fontId="0" fillId="2" borderId="0" xfId="0" applyNumberFormat="1" applyFill="1"/>
    <xf numFmtId="0" fontId="0" fillId="0" borderId="0" xfId="0" applyAlignment="1">
      <alignment horizontal="center"/>
    </xf>
    <xf numFmtId="0" fontId="1" fillId="0" borderId="0" xfId="0" applyNumberFormat="1" applyFont="1"/>
    <xf numFmtId="164" fontId="1" fillId="0" borderId="0" xfId="0" applyNumberFormat="1" applyFont="1"/>
    <xf numFmtId="0" fontId="0" fillId="2" borderId="0" xfId="0" applyFill="1"/>
    <xf numFmtId="165" fontId="0" fillId="0" borderId="0" xfId="0" applyNumberFormat="1"/>
    <xf numFmtId="166" fontId="0" fillId="0" borderId="0" xfId="0" applyNumberFormat="1"/>
    <xf numFmtId="0" fontId="3" fillId="0" borderId="0" xfId="0" applyFont="1" applyAlignment="1">
      <alignment textRotation="90"/>
    </xf>
    <xf numFmtId="166" fontId="0" fillId="2" borderId="0" xfId="0" applyNumberFormat="1" applyFill="1"/>
    <xf numFmtId="0" fontId="0" fillId="0" borderId="0" xfId="0" applyNumberFormat="1"/>
    <xf numFmtId="0" fontId="3" fillId="2" borderId="0" xfId="0" applyFont="1" applyFill="1" applyAlignment="1">
      <alignment horizontal="center" textRotation="90"/>
    </xf>
    <xf numFmtId="0" fontId="2" fillId="0" borderId="0" xfId="0" applyNumberFormat="1" applyFont="1" applyAlignment="1">
      <alignment horizontal="center" textRotation="90"/>
    </xf>
    <xf numFmtId="0" fontId="3" fillId="0" borderId="0" xfId="0" applyNumberFormat="1" applyFont="1" applyAlignment="1">
      <alignment horizontal="center" textRotation="90"/>
    </xf>
    <xf numFmtId="0" fontId="0" fillId="0" borderId="1" xfId="0" applyBorder="1"/>
    <xf numFmtId="0" fontId="3" fillId="0" borderId="1" xfId="0" applyFont="1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7" xfId="0" applyFont="1" applyBorder="1" applyAlignment="1">
      <alignment horizontal="center" textRotation="90"/>
    </xf>
    <xf numFmtId="0" fontId="3" fillId="0" borderId="8" xfId="0" applyFont="1" applyBorder="1" applyAlignment="1">
      <alignment horizontal="center" textRotation="90"/>
    </xf>
    <xf numFmtId="0" fontId="3" fillId="0" borderId="9" xfId="0" applyFont="1" applyBorder="1" applyAlignment="1">
      <alignment horizontal="center" textRotation="90"/>
    </xf>
    <xf numFmtId="168" fontId="0" fillId="2" borderId="0" xfId="0" applyNumberFormat="1" applyFill="1"/>
    <xf numFmtId="0" fontId="5" fillId="0" borderId="0" xfId="0" applyFont="1"/>
    <xf numFmtId="170" fontId="8" fillId="0" borderId="0" xfId="1" applyNumberFormat="1" applyFont="1" applyFill="1" applyBorder="1" applyAlignment="1">
      <alignment horizontal="left" vertical="top" wrapText="1"/>
    </xf>
    <xf numFmtId="169" fontId="8" fillId="0" borderId="0" xfId="1" applyNumberFormat="1" applyFont="1" applyFill="1" applyBorder="1" applyAlignment="1">
      <alignment horizontal="left" vertical="top" wrapText="1"/>
    </xf>
    <xf numFmtId="0" fontId="9" fillId="2" borderId="0" xfId="0" applyNumberFormat="1" applyFont="1" applyFill="1" applyAlignment="1">
      <alignment horizontal="center" textRotation="90"/>
    </xf>
    <xf numFmtId="164" fontId="4" fillId="2" borderId="0" xfId="0" applyNumberFormat="1" applyFont="1" applyFill="1"/>
    <xf numFmtId="0" fontId="2" fillId="0" borderId="0" xfId="0" applyFont="1" applyAlignment="1">
      <alignment horizontal="center" textRotation="90"/>
    </xf>
    <xf numFmtId="166" fontId="1" fillId="0" borderId="0" xfId="0" applyNumberFormat="1" applyFont="1"/>
    <xf numFmtId="167" fontId="1" fillId="0" borderId="0" xfId="0" applyNumberFormat="1" applyFont="1"/>
    <xf numFmtId="0" fontId="1" fillId="0" borderId="0" xfId="0" applyFont="1"/>
    <xf numFmtId="165" fontId="1" fillId="0" borderId="0" xfId="0" applyNumberFormat="1" applyFont="1"/>
    <xf numFmtId="0" fontId="4" fillId="2" borderId="0" xfId="0" applyNumberFormat="1" applyFont="1" applyFill="1"/>
    <xf numFmtId="171" fontId="0" fillId="2" borderId="0" xfId="0" applyNumberFormat="1" applyFill="1"/>
    <xf numFmtId="164" fontId="2" fillId="0" borderId="0" xfId="0" applyNumberFormat="1" applyFont="1"/>
    <xf numFmtId="0" fontId="0" fillId="0" borderId="11" xfId="0" applyBorder="1"/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0" xfId="0" applyAlignment="1">
      <alignment wrapText="1"/>
    </xf>
    <xf numFmtId="0" fontId="0" fillId="2" borderId="10" xfId="0" applyFill="1" applyBorder="1" applyAlignment="1"/>
    <xf numFmtId="0" fontId="0" fillId="0" borderId="3" xfId="0" applyFill="1" applyBorder="1" applyAlignment="1"/>
    <xf numFmtId="0" fontId="3" fillId="3" borderId="0" xfId="0" applyNumberFormat="1" applyFont="1" applyFill="1" applyAlignment="1">
      <alignment horizontal="center" textRotation="90"/>
    </xf>
    <xf numFmtId="0" fontId="0" fillId="3" borderId="0" xfId="0" applyFill="1"/>
    <xf numFmtId="0" fontId="3" fillId="4" borderId="0" xfId="0" applyNumberFormat="1" applyFont="1" applyFill="1" applyAlignment="1">
      <alignment horizontal="center" textRotation="90"/>
    </xf>
    <xf numFmtId="0" fontId="0" fillId="4" borderId="0" xfId="0" applyFill="1"/>
    <xf numFmtId="0" fontId="3" fillId="5" borderId="0" xfId="0" applyNumberFormat="1" applyFont="1" applyFill="1" applyAlignment="1">
      <alignment horizontal="center" textRotation="90"/>
    </xf>
    <xf numFmtId="0" fontId="0" fillId="5" borderId="0" xfId="0" applyFill="1"/>
    <xf numFmtId="0" fontId="0" fillId="0" borderId="0" xfId="0" quotePrefix="1"/>
    <xf numFmtId="9" fontId="0" fillId="3" borderId="0" xfId="0" applyNumberFormat="1" applyFill="1" applyAlignment="1">
      <alignment horizontal="center"/>
    </xf>
    <xf numFmtId="9" fontId="0" fillId="5" borderId="0" xfId="0" applyNumberFormat="1" applyFill="1" applyAlignment="1">
      <alignment horizontal="center"/>
    </xf>
    <xf numFmtId="9" fontId="0" fillId="4" borderId="0" xfId="0" applyNumberFormat="1" applyFill="1" applyAlignment="1">
      <alignment horizontal="center"/>
    </xf>
    <xf numFmtId="0" fontId="3" fillId="0" borderId="0" xfId="0" applyNumberFormat="1" applyFont="1" applyFill="1" applyAlignment="1">
      <alignment horizontal="center" textRotation="90"/>
    </xf>
    <xf numFmtId="0" fontId="0" fillId="0" borderId="0" xfId="0" applyNumberFormat="1" applyFill="1"/>
    <xf numFmtId="0" fontId="0" fillId="0" borderId="0" xfId="0" applyNumberFormat="1" applyFont="1" applyFill="1"/>
    <xf numFmtId="0" fontId="0" fillId="2" borderId="0" xfId="0" applyNumberFormat="1" applyFont="1" applyFill="1"/>
    <xf numFmtId="164" fontId="0" fillId="2" borderId="0" xfId="0" applyNumberFormat="1" applyFont="1" applyFill="1"/>
    <xf numFmtId="168" fontId="0" fillId="2" borderId="0" xfId="0" applyNumberFormat="1" applyFont="1" applyFill="1"/>
    <xf numFmtId="171" fontId="0" fillId="2" borderId="0" xfId="0" applyNumberFormat="1" applyFont="1" applyFill="1"/>
    <xf numFmtId="0" fontId="0" fillId="2" borderId="0" xfId="0" applyFont="1" applyFill="1"/>
    <xf numFmtId="9" fontId="0" fillId="0" borderId="0" xfId="2" applyFont="1" applyFill="1"/>
    <xf numFmtId="0" fontId="11" fillId="0" borderId="0" xfId="0" applyFont="1"/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/>
    <cellStyle name="Percent" xfId="2" builtinId="5"/>
  </cellStyles>
  <dxfs count="2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B969"/>
  <sheetViews>
    <sheetView workbookViewId="0">
      <pane ySplit="1" topLeftCell="A2" activePane="bottomLeft" state="frozen"/>
      <selection pane="bottomLeft" activeCell="C304" sqref="C304"/>
    </sheetView>
  </sheetViews>
  <sheetFormatPr defaultRowHeight="15"/>
  <cols>
    <col min="1" max="1" width="8.7109375" bestFit="1" customWidth="1"/>
    <col min="2" max="2" width="4.7109375" bestFit="1" customWidth="1"/>
    <col min="3" max="3" width="8.140625" style="35" bestFit="1" customWidth="1"/>
    <col min="4" max="4" width="5" style="35" bestFit="1" customWidth="1"/>
    <col min="5" max="5" width="7.5703125" bestFit="1" customWidth="1"/>
    <col min="6" max="6" width="7.42578125" bestFit="1" customWidth="1"/>
    <col min="7" max="7" width="6.85546875" bestFit="1" customWidth="1"/>
    <col min="8" max="8" width="7.7109375" bestFit="1" customWidth="1"/>
    <col min="9" max="9" width="11.42578125" bestFit="1" customWidth="1"/>
    <col min="10" max="10" width="14.5703125" bestFit="1" customWidth="1"/>
    <col min="11" max="11" width="12.140625" bestFit="1" customWidth="1"/>
    <col min="12" max="12" width="4.28515625" bestFit="1" customWidth="1"/>
    <col min="13" max="14" width="8.42578125" bestFit="1" customWidth="1"/>
    <col min="15" max="15" width="11.7109375" bestFit="1" customWidth="1"/>
    <col min="16" max="16" width="19.42578125" bestFit="1" customWidth="1"/>
    <col min="17" max="17" width="8.140625" bestFit="1" customWidth="1"/>
    <col min="18" max="18" width="5" bestFit="1" customWidth="1"/>
    <col min="19" max="19" width="39" bestFit="1" customWidth="1"/>
    <col min="20" max="20" width="3.7109375" bestFit="1" customWidth="1"/>
    <col min="21" max="21" width="5.42578125" bestFit="1" customWidth="1"/>
    <col min="22" max="23" width="5" bestFit="1" customWidth="1"/>
    <col min="24" max="24" width="4" bestFit="1" customWidth="1"/>
    <col min="25" max="25" width="5" bestFit="1" customWidth="1"/>
    <col min="26" max="26" width="4" bestFit="1" customWidth="1"/>
    <col min="27" max="27" width="5" bestFit="1" customWidth="1"/>
    <col min="28" max="28" width="4" bestFit="1" customWidth="1"/>
  </cols>
  <sheetData>
    <row r="1" spans="1:28" ht="111">
      <c r="A1" s="15" t="s">
        <v>45</v>
      </c>
      <c r="B1" s="15" t="s">
        <v>46</v>
      </c>
      <c r="C1" s="32" t="s">
        <v>18</v>
      </c>
      <c r="D1" s="32" t="s">
        <v>23</v>
      </c>
      <c r="E1" s="15" t="s">
        <v>112</v>
      </c>
      <c r="F1" s="15" t="s">
        <v>58</v>
      </c>
      <c r="G1" s="15" t="s">
        <v>19</v>
      </c>
      <c r="H1" s="15" t="s">
        <v>140</v>
      </c>
      <c r="I1" s="15" t="s">
        <v>143</v>
      </c>
      <c r="J1" s="15" t="s">
        <v>144</v>
      </c>
      <c r="K1" s="15" t="s">
        <v>145</v>
      </c>
      <c r="L1" s="15" t="s">
        <v>146</v>
      </c>
      <c r="M1" s="30" t="s">
        <v>3</v>
      </c>
      <c r="N1" s="30" t="s">
        <v>2</v>
      </c>
      <c r="O1" s="14" t="s">
        <v>177</v>
      </c>
      <c r="P1" s="14" t="s">
        <v>1</v>
      </c>
      <c r="Q1" s="14" t="s">
        <v>24</v>
      </c>
      <c r="R1" s="14" t="s">
        <v>25</v>
      </c>
      <c r="S1" s="14" t="s">
        <v>22</v>
      </c>
      <c r="T1" s="14" t="s">
        <v>138</v>
      </c>
      <c r="U1" s="14" t="s">
        <v>66</v>
      </c>
      <c r="V1" s="11"/>
      <c r="W1" s="11"/>
      <c r="X1" s="11"/>
      <c r="Y1" s="11"/>
      <c r="Z1" s="11"/>
      <c r="AA1" s="11"/>
      <c r="AB1" s="11"/>
    </row>
    <row r="2" spans="1:28" hidden="1">
      <c r="A2" s="6" t="s">
        <v>54</v>
      </c>
      <c r="B2" s="6" t="s">
        <v>55</v>
      </c>
      <c r="C2" s="33">
        <v>1200</v>
      </c>
      <c r="D2" s="34">
        <v>200</v>
      </c>
      <c r="E2" s="6" t="s">
        <v>136</v>
      </c>
      <c r="F2" s="6" t="s">
        <v>59</v>
      </c>
      <c r="G2" s="6"/>
      <c r="H2" s="7" t="s">
        <v>142</v>
      </c>
      <c r="I2" s="39" t="str">
        <f>$A2</f>
        <v>HEC</v>
      </c>
      <c r="J2" s="7" t="str">
        <f>$B2</f>
        <v>LS</v>
      </c>
      <c r="K2" s="7" t="str">
        <f>$Q2&amp;" "&amp;$R2</f>
        <v>1200µF 200v</v>
      </c>
      <c r="L2" s="7"/>
      <c r="M2" s="31">
        <f>VALUE(LEFT($E2,SEARCH("x",$E2)-1))</f>
        <v>25</v>
      </c>
      <c r="N2" s="31">
        <f>VALUE(RIGHT($E2,LEN($E2)-SEARCH("x",$E2)))</f>
        <v>51</v>
      </c>
      <c r="O2" s="8" t="str">
        <f>$A2&amp;"-"&amp;$B2</f>
        <v>HEC-LS</v>
      </c>
      <c r="P2" s="12" t="str">
        <f t="shared" ref="P2:P65" si="0">$A2&amp;" "&amp;LEFT($F2,1)&amp;"-"&amp;TEXT(ROUND($M2,0),"00.0")&amp;"x"&amp;TEXT(ROUND($N2,0),"00.0")</f>
        <v>HEC R-25.0x51.0</v>
      </c>
      <c r="Q2" s="12" t="str">
        <f>TEXT($C2,"General"&amp;CHAR(34)&amp;"µF"&amp;CHAR(34))</f>
        <v>1200µF</v>
      </c>
      <c r="R2" s="12" t="str">
        <f>TEXT($D2,"General"&amp;CHAR(34)&amp;"v"&amp;CHAR(34))</f>
        <v>200v</v>
      </c>
      <c r="S2" s="8" t="str">
        <f t="shared" ref="S2:S65" si="1">$Q2&amp;" "&amp;$R2&amp;" - "&amp;LEFT($F2,1)&amp;TEXT($M2,"00.0")&amp;"-"&amp;TEXT($N2,"00.0")&amp;" "&amp;A2&amp;" ("&amp;B2&amp;")"&amp;IF(ISBLANK($G2),""," "&amp;$G2)</f>
        <v>1200µF 200v - R25.0-51.0 HEC (LS)</v>
      </c>
      <c r="T2" s="8">
        <f>COUNTIF($S:$S,$S2)</f>
        <v>1</v>
      </c>
      <c r="U2" s="8" t="b">
        <f>NOT(ISNA(MATCH($P2,Packages!$A:$A,0)))</f>
        <v>1</v>
      </c>
    </row>
    <row r="3" spans="1:28" hidden="1">
      <c r="A3" s="6" t="s">
        <v>49</v>
      </c>
      <c r="B3" s="6" t="s">
        <v>50</v>
      </c>
      <c r="C3" s="33">
        <v>100</v>
      </c>
      <c r="D3" s="34">
        <v>6.3</v>
      </c>
      <c r="E3" s="6" t="s">
        <v>68</v>
      </c>
      <c r="F3" s="6" t="s">
        <v>59</v>
      </c>
      <c r="G3" s="6"/>
      <c r="H3" s="7" t="s">
        <v>141</v>
      </c>
      <c r="I3" s="7" t="str">
        <f>UPPER($A3)</f>
        <v>HITANO</v>
      </c>
      <c r="J3" s="7" t="str">
        <f>$Q3&amp;" "&amp;$R3</f>
        <v>100µF 6.3v</v>
      </c>
      <c r="K3" s="7"/>
      <c r="L3" s="7" t="str">
        <f>$B3</f>
        <v>ECR</v>
      </c>
      <c r="M3" s="31">
        <f t="shared" ref="M3:M66" si="2">VALUE(LEFT($E3,SEARCH("x",$E3)-1))</f>
        <v>5</v>
      </c>
      <c r="N3" s="31">
        <f t="shared" ref="N3:N66" si="3">VALUE(RIGHT($E3,LEN($E3)-SEARCH("x",$E3)))</f>
        <v>11</v>
      </c>
      <c r="O3" s="8" t="str">
        <f t="shared" ref="O3:O66" si="4">$A3&amp;"-"&amp;$B3</f>
        <v>Hitano-ECR</v>
      </c>
      <c r="P3" s="12" t="str">
        <f t="shared" si="0"/>
        <v>Hitano R-05.0x11.0</v>
      </c>
      <c r="Q3" s="12" t="str">
        <f t="shared" ref="Q3:Q66" si="5">TEXT($C3,"General"&amp;CHAR(34)&amp;"µF"&amp;CHAR(34))</f>
        <v>100µF</v>
      </c>
      <c r="R3" s="12" t="str">
        <f t="shared" ref="R3:R66" si="6">TEXT($D3,"General"&amp;CHAR(34)&amp;"v"&amp;CHAR(34))</f>
        <v>6.3v</v>
      </c>
      <c r="S3" s="8" t="str">
        <f t="shared" si="1"/>
        <v>100µF 6.3v - R05.0-11.0 Hitano (ECR)</v>
      </c>
      <c r="T3" s="8">
        <f t="shared" ref="T3:T66" si="7">COUNTIF($S:$S,$S3)</f>
        <v>1</v>
      </c>
      <c r="U3" s="8" t="b">
        <f>NOT(ISNA(MATCH($P3,Packages!$A:$A,0)))</f>
        <v>1</v>
      </c>
    </row>
    <row r="4" spans="1:28" hidden="1">
      <c r="A4" s="6" t="s">
        <v>49</v>
      </c>
      <c r="B4" s="6" t="s">
        <v>50</v>
      </c>
      <c r="C4" s="33">
        <v>220</v>
      </c>
      <c r="D4" s="34">
        <v>6.3</v>
      </c>
      <c r="E4" s="6" t="s">
        <v>68</v>
      </c>
      <c r="F4" s="6" t="s">
        <v>59</v>
      </c>
      <c r="G4" s="6"/>
      <c r="H4" s="7" t="s">
        <v>141</v>
      </c>
      <c r="I4" s="7" t="str">
        <f t="shared" ref="I4:I67" si="8">UPPER($A4)</f>
        <v>HITANO</v>
      </c>
      <c r="J4" s="7" t="str">
        <f t="shared" ref="J4:J67" si="9">$Q4&amp;" "&amp;$R4</f>
        <v>220µF 6.3v</v>
      </c>
      <c r="K4" s="7"/>
      <c r="L4" s="7" t="str">
        <f t="shared" ref="L4:L67" si="10">$B4</f>
        <v>ECR</v>
      </c>
      <c r="M4" s="31">
        <f t="shared" si="2"/>
        <v>5</v>
      </c>
      <c r="N4" s="31">
        <f t="shared" si="3"/>
        <v>11</v>
      </c>
      <c r="O4" s="8" t="str">
        <f t="shared" si="4"/>
        <v>Hitano-ECR</v>
      </c>
      <c r="P4" s="12" t="str">
        <f t="shared" si="0"/>
        <v>Hitano R-05.0x11.0</v>
      </c>
      <c r="Q4" s="12" t="str">
        <f t="shared" si="5"/>
        <v>220µF</v>
      </c>
      <c r="R4" s="12" t="str">
        <f t="shared" si="6"/>
        <v>6.3v</v>
      </c>
      <c r="S4" s="8" t="str">
        <f t="shared" si="1"/>
        <v>220µF 6.3v - R05.0-11.0 Hitano (ECR)</v>
      </c>
      <c r="T4" s="8">
        <f t="shared" si="7"/>
        <v>1</v>
      </c>
      <c r="U4" s="8" t="b">
        <f>NOT(ISNA(MATCH($P4,Packages!$A:$A,0)))</f>
        <v>1</v>
      </c>
    </row>
    <row r="5" spans="1:28" hidden="1">
      <c r="A5" s="6" t="s">
        <v>49</v>
      </c>
      <c r="B5" s="6" t="s">
        <v>50</v>
      </c>
      <c r="C5" s="36">
        <v>330</v>
      </c>
      <c r="D5" s="34">
        <v>6.3</v>
      </c>
      <c r="E5" s="6" t="s">
        <v>69</v>
      </c>
      <c r="F5" s="6" t="s">
        <v>59</v>
      </c>
      <c r="G5" s="6"/>
      <c r="H5" s="7" t="s">
        <v>141</v>
      </c>
      <c r="I5" s="7" t="str">
        <f t="shared" si="8"/>
        <v>HITANO</v>
      </c>
      <c r="J5" s="7" t="str">
        <f t="shared" si="9"/>
        <v>330µF 6.3v</v>
      </c>
      <c r="K5" s="7"/>
      <c r="L5" s="7" t="str">
        <f t="shared" si="10"/>
        <v>ECR</v>
      </c>
      <c r="M5" s="31">
        <f t="shared" si="2"/>
        <v>6.3</v>
      </c>
      <c r="N5" s="31">
        <f t="shared" si="3"/>
        <v>11</v>
      </c>
      <c r="O5" s="8" t="str">
        <f t="shared" si="4"/>
        <v>Hitano-ECR</v>
      </c>
      <c r="P5" s="12" t="str">
        <f t="shared" si="0"/>
        <v>Hitano R-06.0x11.0</v>
      </c>
      <c r="Q5" s="12" t="str">
        <f t="shared" si="5"/>
        <v>330µF</v>
      </c>
      <c r="R5" s="12" t="str">
        <f t="shared" si="6"/>
        <v>6.3v</v>
      </c>
      <c r="S5" s="8" t="str">
        <f t="shared" si="1"/>
        <v>330µF 6.3v - R06.3-11.0 Hitano (ECR)</v>
      </c>
      <c r="T5" s="8">
        <f t="shared" si="7"/>
        <v>1</v>
      </c>
      <c r="U5" s="8" t="b">
        <f>NOT(ISNA(MATCH($P5,Packages!$A:$A,0)))</f>
        <v>1</v>
      </c>
    </row>
    <row r="6" spans="1:28" hidden="1">
      <c r="A6" s="6" t="s">
        <v>49</v>
      </c>
      <c r="B6" s="6" t="s">
        <v>50</v>
      </c>
      <c r="C6" s="36">
        <v>470</v>
      </c>
      <c r="D6" s="34">
        <v>6.3</v>
      </c>
      <c r="E6" s="6" t="s">
        <v>69</v>
      </c>
      <c r="F6" s="6" t="s">
        <v>59</v>
      </c>
      <c r="G6" s="6"/>
      <c r="H6" s="7" t="s">
        <v>141</v>
      </c>
      <c r="I6" s="7" t="str">
        <f t="shared" si="8"/>
        <v>HITANO</v>
      </c>
      <c r="J6" s="7" t="str">
        <f t="shared" si="9"/>
        <v>470µF 6.3v</v>
      </c>
      <c r="K6" s="7"/>
      <c r="L6" s="7" t="str">
        <f t="shared" si="10"/>
        <v>ECR</v>
      </c>
      <c r="M6" s="31">
        <f t="shared" si="2"/>
        <v>6.3</v>
      </c>
      <c r="N6" s="31">
        <f t="shared" si="3"/>
        <v>11</v>
      </c>
      <c r="O6" s="8" t="str">
        <f t="shared" si="4"/>
        <v>Hitano-ECR</v>
      </c>
      <c r="P6" s="12" t="str">
        <f t="shared" si="0"/>
        <v>Hitano R-06.0x11.0</v>
      </c>
      <c r="Q6" s="12" t="str">
        <f t="shared" si="5"/>
        <v>470µF</v>
      </c>
      <c r="R6" s="12" t="str">
        <f t="shared" si="6"/>
        <v>6.3v</v>
      </c>
      <c r="S6" s="8" t="str">
        <f t="shared" si="1"/>
        <v>470µF 6.3v - R06.3-11.0 Hitano (ECR)</v>
      </c>
      <c r="T6" s="8">
        <f t="shared" si="7"/>
        <v>1</v>
      </c>
      <c r="U6" s="8" t="b">
        <f>NOT(ISNA(MATCH($P6,Packages!$A:$A,0)))</f>
        <v>1</v>
      </c>
    </row>
    <row r="7" spans="1:28" hidden="1">
      <c r="A7" s="6" t="s">
        <v>49</v>
      </c>
      <c r="B7" s="6" t="s">
        <v>50</v>
      </c>
      <c r="C7" s="33">
        <v>1000</v>
      </c>
      <c r="D7" s="34">
        <v>6.3</v>
      </c>
      <c r="E7" s="6" t="s">
        <v>71</v>
      </c>
      <c r="F7" s="6" t="s">
        <v>59</v>
      </c>
      <c r="G7" s="6"/>
      <c r="H7" s="7" t="s">
        <v>141</v>
      </c>
      <c r="I7" s="7" t="str">
        <f t="shared" si="8"/>
        <v>HITANO</v>
      </c>
      <c r="J7" s="7" t="str">
        <f t="shared" si="9"/>
        <v>1000µF 6.3v</v>
      </c>
      <c r="K7" s="7"/>
      <c r="L7" s="7" t="str">
        <f t="shared" si="10"/>
        <v>ECR</v>
      </c>
      <c r="M7" s="31">
        <f t="shared" si="2"/>
        <v>8</v>
      </c>
      <c r="N7" s="31">
        <f t="shared" si="3"/>
        <v>12</v>
      </c>
      <c r="O7" s="8" t="str">
        <f t="shared" si="4"/>
        <v>Hitano-ECR</v>
      </c>
      <c r="P7" s="12" t="str">
        <f t="shared" si="0"/>
        <v>Hitano R-08.0x12.0</v>
      </c>
      <c r="Q7" s="12" t="str">
        <f t="shared" si="5"/>
        <v>1000µF</v>
      </c>
      <c r="R7" s="12" t="str">
        <f t="shared" si="6"/>
        <v>6.3v</v>
      </c>
      <c r="S7" s="8" t="str">
        <f t="shared" si="1"/>
        <v>1000µF 6.3v - R08.0-12.0 Hitano (ECR)</v>
      </c>
      <c r="T7" s="8">
        <f t="shared" si="7"/>
        <v>1</v>
      </c>
      <c r="U7" s="8" t="b">
        <f>NOT(ISNA(MATCH($P7,Packages!$A:$A,0)))</f>
        <v>1</v>
      </c>
    </row>
    <row r="8" spans="1:28" hidden="1">
      <c r="A8" s="6" t="s">
        <v>49</v>
      </c>
      <c r="B8" s="6" t="s">
        <v>50</v>
      </c>
      <c r="C8" s="33">
        <v>2200</v>
      </c>
      <c r="D8" s="34">
        <v>6.3</v>
      </c>
      <c r="E8" s="6" t="s">
        <v>74</v>
      </c>
      <c r="F8" s="6" t="s">
        <v>59</v>
      </c>
      <c r="G8" s="6"/>
      <c r="H8" s="7" t="s">
        <v>141</v>
      </c>
      <c r="I8" s="7" t="str">
        <f t="shared" si="8"/>
        <v>HITANO</v>
      </c>
      <c r="J8" s="7" t="str">
        <f t="shared" si="9"/>
        <v>2200µF 6.3v</v>
      </c>
      <c r="K8" s="7"/>
      <c r="L8" s="7" t="str">
        <f t="shared" si="10"/>
        <v>ECR</v>
      </c>
      <c r="M8" s="31">
        <f t="shared" si="2"/>
        <v>10</v>
      </c>
      <c r="N8" s="31">
        <f t="shared" si="3"/>
        <v>16</v>
      </c>
      <c r="O8" s="8" t="str">
        <f t="shared" si="4"/>
        <v>Hitano-ECR</v>
      </c>
      <c r="P8" s="12" t="str">
        <f t="shared" si="0"/>
        <v>Hitano R-10.0x16.0</v>
      </c>
      <c r="Q8" s="12" t="str">
        <f t="shared" si="5"/>
        <v>2200µF</v>
      </c>
      <c r="R8" s="12" t="str">
        <f t="shared" si="6"/>
        <v>6.3v</v>
      </c>
      <c r="S8" s="8" t="str">
        <f t="shared" si="1"/>
        <v>2200µF 6.3v - R10.0-16.0 Hitano (ECR)</v>
      </c>
      <c r="T8" s="8">
        <f t="shared" si="7"/>
        <v>1</v>
      </c>
      <c r="U8" s="8" t="b">
        <f>NOT(ISNA(MATCH($P8,Packages!$A:$A,0)))</f>
        <v>1</v>
      </c>
    </row>
    <row r="9" spans="1:28" hidden="1">
      <c r="A9" s="6" t="s">
        <v>49</v>
      </c>
      <c r="B9" s="6" t="s">
        <v>50</v>
      </c>
      <c r="C9" s="33">
        <v>3300</v>
      </c>
      <c r="D9" s="34">
        <v>6.3</v>
      </c>
      <c r="E9" s="6" t="s">
        <v>75</v>
      </c>
      <c r="F9" s="6" t="s">
        <v>59</v>
      </c>
      <c r="G9" s="6"/>
      <c r="H9" s="7" t="s">
        <v>141</v>
      </c>
      <c r="I9" s="7" t="str">
        <f t="shared" si="8"/>
        <v>HITANO</v>
      </c>
      <c r="J9" s="7" t="str">
        <f t="shared" si="9"/>
        <v>3300µF 6.3v</v>
      </c>
      <c r="K9" s="7"/>
      <c r="L9" s="7" t="str">
        <f t="shared" si="10"/>
        <v>ECR</v>
      </c>
      <c r="M9" s="31">
        <f t="shared" si="2"/>
        <v>10</v>
      </c>
      <c r="N9" s="31">
        <f t="shared" si="3"/>
        <v>21</v>
      </c>
      <c r="O9" s="8" t="str">
        <f t="shared" si="4"/>
        <v>Hitano-ECR</v>
      </c>
      <c r="P9" s="12" t="str">
        <f t="shared" si="0"/>
        <v>Hitano R-10.0x21.0</v>
      </c>
      <c r="Q9" s="12" t="str">
        <f t="shared" si="5"/>
        <v>3300µF</v>
      </c>
      <c r="R9" s="12" t="str">
        <f t="shared" si="6"/>
        <v>6.3v</v>
      </c>
      <c r="S9" s="8" t="str">
        <f t="shared" si="1"/>
        <v>3300µF 6.3v - R10.0-21.0 Hitano (ECR)</v>
      </c>
      <c r="T9" s="8">
        <f t="shared" si="7"/>
        <v>1</v>
      </c>
      <c r="U9" s="8" t="b">
        <f>NOT(ISNA(MATCH($P9,Packages!$A:$A,0)))</f>
        <v>1</v>
      </c>
    </row>
    <row r="10" spans="1:28" hidden="1">
      <c r="A10" s="6" t="s">
        <v>49</v>
      </c>
      <c r="B10" s="6" t="s">
        <v>50</v>
      </c>
      <c r="C10" s="33">
        <v>4700</v>
      </c>
      <c r="D10" s="34">
        <v>6.3</v>
      </c>
      <c r="E10" s="6" t="s">
        <v>76</v>
      </c>
      <c r="F10" s="6" t="s">
        <v>59</v>
      </c>
      <c r="G10" s="6"/>
      <c r="H10" s="7" t="s">
        <v>141</v>
      </c>
      <c r="I10" s="7" t="str">
        <f t="shared" si="8"/>
        <v>HITANO</v>
      </c>
      <c r="J10" s="7" t="str">
        <f t="shared" si="9"/>
        <v>4700µF 6.3v</v>
      </c>
      <c r="K10" s="7"/>
      <c r="L10" s="7" t="str">
        <f t="shared" si="10"/>
        <v>ECR</v>
      </c>
      <c r="M10" s="31">
        <f t="shared" si="2"/>
        <v>13</v>
      </c>
      <c r="N10" s="31">
        <f t="shared" si="3"/>
        <v>21</v>
      </c>
      <c r="O10" s="8" t="str">
        <f t="shared" si="4"/>
        <v>Hitano-ECR</v>
      </c>
      <c r="P10" s="12" t="str">
        <f t="shared" si="0"/>
        <v>Hitano R-13.0x21.0</v>
      </c>
      <c r="Q10" s="12" t="str">
        <f t="shared" si="5"/>
        <v>4700µF</v>
      </c>
      <c r="R10" s="12" t="str">
        <f t="shared" si="6"/>
        <v>6.3v</v>
      </c>
      <c r="S10" s="8" t="str">
        <f t="shared" si="1"/>
        <v>4700µF 6.3v - R13.0-21.0 Hitano (ECR)</v>
      </c>
      <c r="T10" s="8">
        <f t="shared" si="7"/>
        <v>1</v>
      </c>
      <c r="U10" s="8" t="b">
        <f>NOT(ISNA(MATCH($P10,Packages!$A:$A,0)))</f>
        <v>1</v>
      </c>
    </row>
    <row r="11" spans="1:28" hidden="1">
      <c r="A11" s="6" t="s">
        <v>49</v>
      </c>
      <c r="B11" s="6" t="s">
        <v>50</v>
      </c>
      <c r="C11" s="33">
        <v>6800</v>
      </c>
      <c r="D11" s="34">
        <v>6.3</v>
      </c>
      <c r="E11" s="6" t="s">
        <v>77</v>
      </c>
      <c r="F11" s="6" t="s">
        <v>59</v>
      </c>
      <c r="G11" s="6"/>
      <c r="H11" s="7" t="s">
        <v>141</v>
      </c>
      <c r="I11" s="7" t="str">
        <f t="shared" si="8"/>
        <v>HITANO</v>
      </c>
      <c r="J11" s="7" t="str">
        <f t="shared" si="9"/>
        <v>6800µF 6.3v</v>
      </c>
      <c r="K11" s="7"/>
      <c r="L11" s="7" t="str">
        <f t="shared" si="10"/>
        <v>ECR</v>
      </c>
      <c r="M11" s="31">
        <f t="shared" si="2"/>
        <v>13</v>
      </c>
      <c r="N11" s="31">
        <f t="shared" si="3"/>
        <v>26</v>
      </c>
      <c r="O11" s="8" t="str">
        <f t="shared" si="4"/>
        <v>Hitano-ECR</v>
      </c>
      <c r="P11" s="12" t="str">
        <f t="shared" si="0"/>
        <v>Hitano R-13.0x26.0</v>
      </c>
      <c r="Q11" s="12" t="str">
        <f t="shared" si="5"/>
        <v>6800µF</v>
      </c>
      <c r="R11" s="12" t="str">
        <f t="shared" si="6"/>
        <v>6.3v</v>
      </c>
      <c r="S11" s="8" t="str">
        <f t="shared" si="1"/>
        <v>6800µF 6.3v - R13.0-26.0 Hitano (ECR)</v>
      </c>
      <c r="T11" s="8">
        <f t="shared" si="7"/>
        <v>1</v>
      </c>
      <c r="U11" s="8" t="b">
        <f>NOT(ISNA(MATCH($P11,Packages!$A:$A,0)))</f>
        <v>1</v>
      </c>
    </row>
    <row r="12" spans="1:28" hidden="1">
      <c r="A12" s="6" t="s">
        <v>49</v>
      </c>
      <c r="B12" s="6" t="s">
        <v>50</v>
      </c>
      <c r="C12" s="33">
        <v>10000</v>
      </c>
      <c r="D12" s="34">
        <v>6.3</v>
      </c>
      <c r="E12" s="6" t="s">
        <v>78</v>
      </c>
      <c r="F12" s="6" t="s">
        <v>59</v>
      </c>
      <c r="G12" s="6"/>
      <c r="H12" s="7" t="s">
        <v>141</v>
      </c>
      <c r="I12" s="7" t="str">
        <f t="shared" si="8"/>
        <v>HITANO</v>
      </c>
      <c r="J12" s="7" t="str">
        <f t="shared" si="9"/>
        <v>10000µF 6.3v</v>
      </c>
      <c r="K12" s="7"/>
      <c r="L12" s="7" t="str">
        <f t="shared" si="10"/>
        <v>ECR</v>
      </c>
      <c r="M12" s="31">
        <f t="shared" si="2"/>
        <v>16</v>
      </c>
      <c r="N12" s="31">
        <f t="shared" si="3"/>
        <v>26</v>
      </c>
      <c r="O12" s="8" t="str">
        <f t="shared" si="4"/>
        <v>Hitano-ECR</v>
      </c>
      <c r="P12" s="12" t="str">
        <f t="shared" si="0"/>
        <v>Hitano R-16.0x26.0</v>
      </c>
      <c r="Q12" s="12" t="str">
        <f t="shared" si="5"/>
        <v>10000µF</v>
      </c>
      <c r="R12" s="12" t="str">
        <f t="shared" si="6"/>
        <v>6.3v</v>
      </c>
      <c r="S12" s="8" t="str">
        <f t="shared" si="1"/>
        <v>10000µF 6.3v - R16.0-26.0 Hitano (ECR)</v>
      </c>
      <c r="T12" s="8">
        <f t="shared" si="7"/>
        <v>1</v>
      </c>
      <c r="U12" s="8" t="b">
        <f>NOT(ISNA(MATCH($P12,Packages!$A:$A,0)))</f>
        <v>1</v>
      </c>
    </row>
    <row r="13" spans="1:28" hidden="1">
      <c r="A13" s="6" t="s">
        <v>49</v>
      </c>
      <c r="B13" s="6" t="s">
        <v>50</v>
      </c>
      <c r="C13" s="33">
        <v>100</v>
      </c>
      <c r="D13" s="34">
        <v>10</v>
      </c>
      <c r="E13" s="6" t="s">
        <v>68</v>
      </c>
      <c r="F13" s="6" t="s">
        <v>59</v>
      </c>
      <c r="G13" s="6"/>
      <c r="H13" s="7" t="s">
        <v>141</v>
      </c>
      <c r="I13" s="7" t="str">
        <f t="shared" si="8"/>
        <v>HITANO</v>
      </c>
      <c r="J13" s="7" t="str">
        <f t="shared" si="9"/>
        <v>100µF 10v</v>
      </c>
      <c r="K13" s="7"/>
      <c r="L13" s="7" t="str">
        <f t="shared" si="10"/>
        <v>ECR</v>
      </c>
      <c r="M13" s="31">
        <f t="shared" si="2"/>
        <v>5</v>
      </c>
      <c r="N13" s="31">
        <f t="shared" si="3"/>
        <v>11</v>
      </c>
      <c r="O13" s="8" t="str">
        <f t="shared" si="4"/>
        <v>Hitano-ECR</v>
      </c>
      <c r="P13" s="12" t="str">
        <f t="shared" si="0"/>
        <v>Hitano R-05.0x11.0</v>
      </c>
      <c r="Q13" s="12" t="str">
        <f t="shared" si="5"/>
        <v>100µF</v>
      </c>
      <c r="R13" s="12" t="str">
        <f t="shared" si="6"/>
        <v>10v</v>
      </c>
      <c r="S13" s="8" t="str">
        <f t="shared" si="1"/>
        <v>100µF 10v - R05.0-11.0 Hitano (ECR)</v>
      </c>
      <c r="T13" s="8">
        <f t="shared" si="7"/>
        <v>1</v>
      </c>
      <c r="U13" s="8" t="b">
        <f>NOT(ISNA(MATCH($P13,Packages!$A:$A,0)))</f>
        <v>1</v>
      </c>
    </row>
    <row r="14" spans="1:28" hidden="1">
      <c r="A14" s="6" t="s">
        <v>49</v>
      </c>
      <c r="B14" s="6" t="s">
        <v>50</v>
      </c>
      <c r="C14" s="33">
        <v>220</v>
      </c>
      <c r="D14" s="34">
        <v>10</v>
      </c>
      <c r="E14" s="6" t="s">
        <v>69</v>
      </c>
      <c r="F14" s="6" t="s">
        <v>59</v>
      </c>
      <c r="G14" s="6"/>
      <c r="H14" s="7" t="s">
        <v>141</v>
      </c>
      <c r="I14" s="7" t="str">
        <f t="shared" si="8"/>
        <v>HITANO</v>
      </c>
      <c r="J14" s="7" t="str">
        <f t="shared" si="9"/>
        <v>220µF 10v</v>
      </c>
      <c r="K14" s="7"/>
      <c r="L14" s="7" t="str">
        <f t="shared" si="10"/>
        <v>ECR</v>
      </c>
      <c r="M14" s="31">
        <f t="shared" si="2"/>
        <v>6.3</v>
      </c>
      <c r="N14" s="31">
        <f t="shared" si="3"/>
        <v>11</v>
      </c>
      <c r="O14" s="8" t="str">
        <f t="shared" si="4"/>
        <v>Hitano-ECR</v>
      </c>
      <c r="P14" s="12" t="str">
        <f t="shared" si="0"/>
        <v>Hitano R-06.0x11.0</v>
      </c>
      <c r="Q14" s="12" t="str">
        <f t="shared" si="5"/>
        <v>220µF</v>
      </c>
      <c r="R14" s="12" t="str">
        <f t="shared" si="6"/>
        <v>10v</v>
      </c>
      <c r="S14" s="8" t="str">
        <f t="shared" si="1"/>
        <v>220µF 10v - R06.3-11.0 Hitano (ECR)</v>
      </c>
      <c r="T14" s="8">
        <f t="shared" si="7"/>
        <v>1</v>
      </c>
      <c r="U14" s="8" t="b">
        <f>NOT(ISNA(MATCH($P14,Packages!$A:$A,0)))</f>
        <v>1</v>
      </c>
    </row>
    <row r="15" spans="1:28" hidden="1">
      <c r="A15" s="6" t="s">
        <v>49</v>
      </c>
      <c r="B15" s="6" t="s">
        <v>50</v>
      </c>
      <c r="C15" s="36">
        <v>330</v>
      </c>
      <c r="D15" s="34">
        <v>10</v>
      </c>
      <c r="E15" s="6" t="s">
        <v>69</v>
      </c>
      <c r="F15" s="6" t="s">
        <v>59</v>
      </c>
      <c r="G15" s="6"/>
      <c r="H15" s="7" t="s">
        <v>141</v>
      </c>
      <c r="I15" s="7" t="str">
        <f t="shared" si="8"/>
        <v>HITANO</v>
      </c>
      <c r="J15" s="7" t="str">
        <f t="shared" si="9"/>
        <v>330µF 10v</v>
      </c>
      <c r="K15" s="7"/>
      <c r="L15" s="7" t="str">
        <f t="shared" si="10"/>
        <v>ECR</v>
      </c>
      <c r="M15" s="31">
        <f t="shared" si="2"/>
        <v>6.3</v>
      </c>
      <c r="N15" s="31">
        <f t="shared" si="3"/>
        <v>11</v>
      </c>
      <c r="O15" s="8" t="str">
        <f t="shared" si="4"/>
        <v>Hitano-ECR</v>
      </c>
      <c r="P15" s="12" t="str">
        <f t="shared" si="0"/>
        <v>Hitano R-06.0x11.0</v>
      </c>
      <c r="Q15" s="12" t="str">
        <f t="shared" si="5"/>
        <v>330µF</v>
      </c>
      <c r="R15" s="12" t="str">
        <f t="shared" si="6"/>
        <v>10v</v>
      </c>
      <c r="S15" s="8" t="str">
        <f t="shared" si="1"/>
        <v>330µF 10v - R06.3-11.0 Hitano (ECR)</v>
      </c>
      <c r="T15" s="8">
        <f t="shared" si="7"/>
        <v>1</v>
      </c>
      <c r="U15" s="8" t="b">
        <f>NOT(ISNA(MATCH($P15,Packages!$A:$A,0)))</f>
        <v>1</v>
      </c>
    </row>
    <row r="16" spans="1:28" hidden="1">
      <c r="A16" s="6" t="s">
        <v>49</v>
      </c>
      <c r="B16" s="6" t="s">
        <v>50</v>
      </c>
      <c r="C16" s="36">
        <v>470</v>
      </c>
      <c r="D16" s="34">
        <v>10</v>
      </c>
      <c r="E16" s="6" t="s">
        <v>71</v>
      </c>
      <c r="F16" s="6" t="s">
        <v>59</v>
      </c>
      <c r="G16" s="6"/>
      <c r="H16" s="7" t="s">
        <v>141</v>
      </c>
      <c r="I16" s="7" t="str">
        <f t="shared" si="8"/>
        <v>HITANO</v>
      </c>
      <c r="J16" s="7" t="str">
        <f t="shared" si="9"/>
        <v>470µF 10v</v>
      </c>
      <c r="K16" s="7"/>
      <c r="L16" s="7" t="str">
        <f t="shared" si="10"/>
        <v>ECR</v>
      </c>
      <c r="M16" s="31">
        <f t="shared" si="2"/>
        <v>8</v>
      </c>
      <c r="N16" s="31">
        <f t="shared" si="3"/>
        <v>12</v>
      </c>
      <c r="O16" s="8" t="str">
        <f t="shared" si="4"/>
        <v>Hitano-ECR</v>
      </c>
      <c r="P16" s="12" t="str">
        <f t="shared" si="0"/>
        <v>Hitano R-08.0x12.0</v>
      </c>
      <c r="Q16" s="12" t="str">
        <f t="shared" si="5"/>
        <v>470µF</v>
      </c>
      <c r="R16" s="12" t="str">
        <f t="shared" si="6"/>
        <v>10v</v>
      </c>
      <c r="S16" s="8" t="str">
        <f t="shared" si="1"/>
        <v>470µF 10v - R08.0-12.0 Hitano (ECR)</v>
      </c>
      <c r="T16" s="8">
        <f t="shared" si="7"/>
        <v>1</v>
      </c>
      <c r="U16" s="8" t="b">
        <f>NOT(ISNA(MATCH($P16,Packages!$A:$A,0)))</f>
        <v>1</v>
      </c>
    </row>
    <row r="17" spans="1:21" hidden="1">
      <c r="A17" s="6" t="s">
        <v>49</v>
      </c>
      <c r="B17" s="6" t="s">
        <v>50</v>
      </c>
      <c r="C17" s="33">
        <v>1000</v>
      </c>
      <c r="D17" s="34">
        <v>10</v>
      </c>
      <c r="E17" s="6" t="s">
        <v>73</v>
      </c>
      <c r="F17" s="6" t="s">
        <v>59</v>
      </c>
      <c r="G17" s="6"/>
      <c r="H17" s="7" t="s">
        <v>141</v>
      </c>
      <c r="I17" s="7" t="str">
        <f t="shared" si="8"/>
        <v>HITANO</v>
      </c>
      <c r="J17" s="7" t="str">
        <f t="shared" si="9"/>
        <v>1000µF 10v</v>
      </c>
      <c r="K17" s="7"/>
      <c r="L17" s="7" t="str">
        <f t="shared" si="10"/>
        <v>ECR</v>
      </c>
      <c r="M17" s="31">
        <f t="shared" si="2"/>
        <v>8</v>
      </c>
      <c r="N17" s="31">
        <f t="shared" si="3"/>
        <v>14</v>
      </c>
      <c r="O17" s="8" t="str">
        <f t="shared" si="4"/>
        <v>Hitano-ECR</v>
      </c>
      <c r="P17" s="12" t="str">
        <f t="shared" si="0"/>
        <v>Hitano R-08.0x14.0</v>
      </c>
      <c r="Q17" s="12" t="str">
        <f t="shared" si="5"/>
        <v>1000µF</v>
      </c>
      <c r="R17" s="12" t="str">
        <f t="shared" si="6"/>
        <v>10v</v>
      </c>
      <c r="S17" s="8" t="str">
        <f t="shared" si="1"/>
        <v>1000µF 10v - R08.0-14.0 Hitano (ECR)</v>
      </c>
      <c r="T17" s="8">
        <f t="shared" si="7"/>
        <v>1</v>
      </c>
      <c r="U17" s="8" t="b">
        <f>NOT(ISNA(MATCH($P17,Packages!$A:$A,0)))</f>
        <v>1</v>
      </c>
    </row>
    <row r="18" spans="1:21" hidden="1">
      <c r="A18" s="6" t="s">
        <v>49</v>
      </c>
      <c r="B18" s="6" t="s">
        <v>50</v>
      </c>
      <c r="C18" s="33">
        <v>2200</v>
      </c>
      <c r="D18" s="34">
        <v>10</v>
      </c>
      <c r="E18" s="6" t="s">
        <v>74</v>
      </c>
      <c r="F18" s="6" t="s">
        <v>59</v>
      </c>
      <c r="G18" s="6"/>
      <c r="H18" s="7" t="s">
        <v>141</v>
      </c>
      <c r="I18" s="7" t="str">
        <f t="shared" si="8"/>
        <v>HITANO</v>
      </c>
      <c r="J18" s="7" t="str">
        <f t="shared" si="9"/>
        <v>2200µF 10v</v>
      </c>
      <c r="K18" s="7"/>
      <c r="L18" s="7" t="str">
        <f t="shared" si="10"/>
        <v>ECR</v>
      </c>
      <c r="M18" s="31">
        <f t="shared" si="2"/>
        <v>10</v>
      </c>
      <c r="N18" s="31">
        <f t="shared" si="3"/>
        <v>16</v>
      </c>
      <c r="O18" s="8" t="str">
        <f t="shared" si="4"/>
        <v>Hitano-ECR</v>
      </c>
      <c r="P18" s="12" t="str">
        <f t="shared" si="0"/>
        <v>Hitano R-10.0x16.0</v>
      </c>
      <c r="Q18" s="12" t="str">
        <f t="shared" si="5"/>
        <v>2200µF</v>
      </c>
      <c r="R18" s="12" t="str">
        <f t="shared" si="6"/>
        <v>10v</v>
      </c>
      <c r="S18" s="8" t="str">
        <f t="shared" si="1"/>
        <v>2200µF 10v - R10.0-16.0 Hitano (ECR)</v>
      </c>
      <c r="T18" s="8">
        <f t="shared" si="7"/>
        <v>1</v>
      </c>
      <c r="U18" s="8" t="b">
        <f>NOT(ISNA(MATCH($P18,Packages!$A:$A,0)))</f>
        <v>1</v>
      </c>
    </row>
    <row r="19" spans="1:21" hidden="1">
      <c r="A19" s="6" t="s">
        <v>49</v>
      </c>
      <c r="B19" s="6" t="s">
        <v>50</v>
      </c>
      <c r="C19" s="33">
        <v>3300</v>
      </c>
      <c r="D19" s="34">
        <v>10</v>
      </c>
      <c r="E19" s="6" t="s">
        <v>76</v>
      </c>
      <c r="F19" s="6" t="s">
        <v>59</v>
      </c>
      <c r="G19" s="6"/>
      <c r="H19" s="7" t="s">
        <v>141</v>
      </c>
      <c r="I19" s="7" t="str">
        <f t="shared" si="8"/>
        <v>HITANO</v>
      </c>
      <c r="J19" s="7" t="str">
        <f t="shared" si="9"/>
        <v>3300µF 10v</v>
      </c>
      <c r="K19" s="7"/>
      <c r="L19" s="7" t="str">
        <f t="shared" si="10"/>
        <v>ECR</v>
      </c>
      <c r="M19" s="31">
        <f t="shared" si="2"/>
        <v>13</v>
      </c>
      <c r="N19" s="31">
        <f t="shared" si="3"/>
        <v>21</v>
      </c>
      <c r="O19" s="8" t="str">
        <f t="shared" si="4"/>
        <v>Hitano-ECR</v>
      </c>
      <c r="P19" s="12" t="str">
        <f t="shared" si="0"/>
        <v>Hitano R-13.0x21.0</v>
      </c>
      <c r="Q19" s="12" t="str">
        <f t="shared" si="5"/>
        <v>3300µF</v>
      </c>
      <c r="R19" s="12" t="str">
        <f t="shared" si="6"/>
        <v>10v</v>
      </c>
      <c r="S19" s="8" t="str">
        <f t="shared" si="1"/>
        <v>3300µF 10v - R13.0-21.0 Hitano (ECR)</v>
      </c>
      <c r="T19" s="8">
        <f t="shared" si="7"/>
        <v>1</v>
      </c>
      <c r="U19" s="8" t="b">
        <f>NOT(ISNA(MATCH($P19,Packages!$A:$A,0)))</f>
        <v>1</v>
      </c>
    </row>
    <row r="20" spans="1:21" hidden="1">
      <c r="A20" s="6" t="s">
        <v>49</v>
      </c>
      <c r="B20" s="6" t="s">
        <v>50</v>
      </c>
      <c r="C20" s="33">
        <v>4700</v>
      </c>
      <c r="D20" s="34">
        <v>10</v>
      </c>
      <c r="E20" s="6" t="s">
        <v>77</v>
      </c>
      <c r="F20" s="6" t="s">
        <v>59</v>
      </c>
      <c r="G20" s="6"/>
      <c r="H20" s="7" t="s">
        <v>141</v>
      </c>
      <c r="I20" s="7" t="str">
        <f t="shared" si="8"/>
        <v>HITANO</v>
      </c>
      <c r="J20" s="7" t="str">
        <f t="shared" si="9"/>
        <v>4700µF 10v</v>
      </c>
      <c r="K20" s="7"/>
      <c r="L20" s="7" t="str">
        <f t="shared" si="10"/>
        <v>ECR</v>
      </c>
      <c r="M20" s="31">
        <f t="shared" si="2"/>
        <v>13</v>
      </c>
      <c r="N20" s="31">
        <f t="shared" si="3"/>
        <v>26</v>
      </c>
      <c r="O20" s="8" t="str">
        <f t="shared" si="4"/>
        <v>Hitano-ECR</v>
      </c>
      <c r="P20" s="12" t="str">
        <f t="shared" si="0"/>
        <v>Hitano R-13.0x26.0</v>
      </c>
      <c r="Q20" s="12" t="str">
        <f t="shared" si="5"/>
        <v>4700µF</v>
      </c>
      <c r="R20" s="12" t="str">
        <f t="shared" si="6"/>
        <v>10v</v>
      </c>
      <c r="S20" s="8" t="str">
        <f t="shared" si="1"/>
        <v>4700µF 10v - R13.0-26.0 Hitano (ECR)</v>
      </c>
      <c r="T20" s="8">
        <f t="shared" si="7"/>
        <v>1</v>
      </c>
      <c r="U20" s="8" t="b">
        <f>NOT(ISNA(MATCH($P20,Packages!$A:$A,0)))</f>
        <v>1</v>
      </c>
    </row>
    <row r="21" spans="1:21" hidden="1">
      <c r="A21" s="6" t="s">
        <v>49</v>
      </c>
      <c r="B21" s="6" t="s">
        <v>50</v>
      </c>
      <c r="C21" s="33">
        <v>6800</v>
      </c>
      <c r="D21" s="34">
        <v>10</v>
      </c>
      <c r="E21" s="6" t="s">
        <v>78</v>
      </c>
      <c r="F21" s="6" t="s">
        <v>59</v>
      </c>
      <c r="G21" s="6"/>
      <c r="H21" s="7" t="s">
        <v>141</v>
      </c>
      <c r="I21" s="7" t="str">
        <f t="shared" si="8"/>
        <v>HITANO</v>
      </c>
      <c r="J21" s="7" t="str">
        <f t="shared" si="9"/>
        <v>6800µF 10v</v>
      </c>
      <c r="K21" s="7"/>
      <c r="L21" s="7" t="str">
        <f t="shared" si="10"/>
        <v>ECR</v>
      </c>
      <c r="M21" s="31">
        <f t="shared" si="2"/>
        <v>16</v>
      </c>
      <c r="N21" s="31">
        <f t="shared" si="3"/>
        <v>26</v>
      </c>
      <c r="O21" s="8" t="str">
        <f t="shared" si="4"/>
        <v>Hitano-ECR</v>
      </c>
      <c r="P21" s="12" t="str">
        <f t="shared" si="0"/>
        <v>Hitano R-16.0x26.0</v>
      </c>
      <c r="Q21" s="12" t="str">
        <f t="shared" si="5"/>
        <v>6800µF</v>
      </c>
      <c r="R21" s="12" t="str">
        <f t="shared" si="6"/>
        <v>10v</v>
      </c>
      <c r="S21" s="8" t="str">
        <f t="shared" si="1"/>
        <v>6800µF 10v - R16.0-26.0 Hitano (ECR)</v>
      </c>
      <c r="T21" s="8">
        <f t="shared" si="7"/>
        <v>1</v>
      </c>
      <c r="U21" s="8" t="b">
        <f>NOT(ISNA(MATCH($P21,Packages!$A:$A,0)))</f>
        <v>1</v>
      </c>
    </row>
    <row r="22" spans="1:21" hidden="1">
      <c r="A22" s="6" t="s">
        <v>49</v>
      </c>
      <c r="B22" s="6" t="s">
        <v>50</v>
      </c>
      <c r="C22" s="33">
        <v>10000</v>
      </c>
      <c r="D22" s="34">
        <v>10</v>
      </c>
      <c r="E22" s="6" t="s">
        <v>79</v>
      </c>
      <c r="F22" s="6" t="s">
        <v>59</v>
      </c>
      <c r="G22" s="6"/>
      <c r="H22" s="7" t="s">
        <v>141</v>
      </c>
      <c r="I22" s="7" t="str">
        <f t="shared" si="8"/>
        <v>HITANO</v>
      </c>
      <c r="J22" s="7" t="str">
        <f t="shared" si="9"/>
        <v>10000µF 10v</v>
      </c>
      <c r="K22" s="7"/>
      <c r="L22" s="7" t="str">
        <f t="shared" si="10"/>
        <v>ECR</v>
      </c>
      <c r="M22" s="31">
        <f t="shared" si="2"/>
        <v>16</v>
      </c>
      <c r="N22" s="31">
        <f t="shared" si="3"/>
        <v>36</v>
      </c>
      <c r="O22" s="8" t="str">
        <f t="shared" si="4"/>
        <v>Hitano-ECR</v>
      </c>
      <c r="P22" s="12" t="str">
        <f t="shared" si="0"/>
        <v>Hitano R-16.0x36.0</v>
      </c>
      <c r="Q22" s="12" t="str">
        <f t="shared" si="5"/>
        <v>10000µF</v>
      </c>
      <c r="R22" s="12" t="str">
        <f t="shared" si="6"/>
        <v>10v</v>
      </c>
      <c r="S22" s="8" t="str">
        <f t="shared" si="1"/>
        <v>10000µF 10v - R16.0-36.0 Hitano (ECR)</v>
      </c>
      <c r="T22" s="8">
        <f t="shared" si="7"/>
        <v>1</v>
      </c>
      <c r="U22" s="8" t="b">
        <f>NOT(ISNA(MATCH($P22,Packages!$A:$A,0)))</f>
        <v>1</v>
      </c>
    </row>
    <row r="23" spans="1:21" hidden="1">
      <c r="A23" s="6" t="s">
        <v>49</v>
      </c>
      <c r="B23" s="6" t="s">
        <v>50</v>
      </c>
      <c r="C23" s="33">
        <v>10</v>
      </c>
      <c r="D23" s="34">
        <v>16</v>
      </c>
      <c r="E23" s="6" t="s">
        <v>68</v>
      </c>
      <c r="F23" s="6" t="s">
        <v>59</v>
      </c>
      <c r="G23" s="6"/>
      <c r="H23" s="7" t="s">
        <v>141</v>
      </c>
      <c r="I23" s="7" t="str">
        <f t="shared" si="8"/>
        <v>HITANO</v>
      </c>
      <c r="J23" s="7" t="str">
        <f t="shared" si="9"/>
        <v>10µF 16v</v>
      </c>
      <c r="K23" s="7"/>
      <c r="L23" s="7" t="str">
        <f t="shared" si="10"/>
        <v>ECR</v>
      </c>
      <c r="M23" s="31">
        <f t="shared" si="2"/>
        <v>5</v>
      </c>
      <c r="N23" s="31">
        <f t="shared" si="3"/>
        <v>11</v>
      </c>
      <c r="O23" s="8" t="str">
        <f t="shared" si="4"/>
        <v>Hitano-ECR</v>
      </c>
      <c r="P23" s="12" t="str">
        <f t="shared" si="0"/>
        <v>Hitano R-05.0x11.0</v>
      </c>
      <c r="Q23" s="12" t="str">
        <f t="shared" si="5"/>
        <v>10µF</v>
      </c>
      <c r="R23" s="12" t="str">
        <f t="shared" si="6"/>
        <v>16v</v>
      </c>
      <c r="S23" s="8" t="str">
        <f t="shared" si="1"/>
        <v>10µF 16v - R05.0-11.0 Hitano (ECR)</v>
      </c>
      <c r="T23" s="8">
        <f t="shared" si="7"/>
        <v>1</v>
      </c>
      <c r="U23" s="8" t="b">
        <f>NOT(ISNA(MATCH($P23,Packages!$A:$A,0)))</f>
        <v>1</v>
      </c>
    </row>
    <row r="24" spans="1:21" hidden="1">
      <c r="A24" s="6" t="s">
        <v>49</v>
      </c>
      <c r="B24" s="6" t="s">
        <v>50</v>
      </c>
      <c r="C24" s="33">
        <v>22</v>
      </c>
      <c r="D24" s="34">
        <v>16</v>
      </c>
      <c r="E24" s="6" t="s">
        <v>68</v>
      </c>
      <c r="F24" s="6" t="s">
        <v>59</v>
      </c>
      <c r="G24" s="6"/>
      <c r="H24" s="7" t="s">
        <v>141</v>
      </c>
      <c r="I24" s="7" t="str">
        <f t="shared" si="8"/>
        <v>HITANO</v>
      </c>
      <c r="J24" s="7" t="str">
        <f t="shared" si="9"/>
        <v>22µF 16v</v>
      </c>
      <c r="K24" s="7"/>
      <c r="L24" s="7" t="str">
        <f t="shared" si="10"/>
        <v>ECR</v>
      </c>
      <c r="M24" s="31">
        <f t="shared" si="2"/>
        <v>5</v>
      </c>
      <c r="N24" s="31">
        <f t="shared" si="3"/>
        <v>11</v>
      </c>
      <c r="O24" s="8" t="str">
        <f t="shared" si="4"/>
        <v>Hitano-ECR</v>
      </c>
      <c r="P24" s="12" t="str">
        <f t="shared" si="0"/>
        <v>Hitano R-05.0x11.0</v>
      </c>
      <c r="Q24" s="12" t="str">
        <f t="shared" si="5"/>
        <v>22µF</v>
      </c>
      <c r="R24" s="12" t="str">
        <f t="shared" si="6"/>
        <v>16v</v>
      </c>
      <c r="S24" s="8" t="str">
        <f t="shared" si="1"/>
        <v>22µF 16v - R05.0-11.0 Hitano (ECR)</v>
      </c>
      <c r="T24" s="8">
        <f t="shared" si="7"/>
        <v>1</v>
      </c>
      <c r="U24" s="8" t="b">
        <f>NOT(ISNA(MATCH($P24,Packages!$A:$A,0)))</f>
        <v>1</v>
      </c>
    </row>
    <row r="25" spans="1:21" hidden="1">
      <c r="A25" s="6" t="s">
        <v>49</v>
      </c>
      <c r="B25" s="6" t="s">
        <v>50</v>
      </c>
      <c r="C25" s="33">
        <v>33</v>
      </c>
      <c r="D25" s="34">
        <v>16</v>
      </c>
      <c r="E25" s="6" t="s">
        <v>68</v>
      </c>
      <c r="F25" s="6" t="s">
        <v>59</v>
      </c>
      <c r="G25" s="6"/>
      <c r="H25" s="7" t="s">
        <v>141</v>
      </c>
      <c r="I25" s="7" t="str">
        <f t="shared" si="8"/>
        <v>HITANO</v>
      </c>
      <c r="J25" s="7" t="str">
        <f t="shared" si="9"/>
        <v>33µF 16v</v>
      </c>
      <c r="K25" s="7"/>
      <c r="L25" s="7" t="str">
        <f t="shared" si="10"/>
        <v>ECR</v>
      </c>
      <c r="M25" s="31">
        <f t="shared" si="2"/>
        <v>5</v>
      </c>
      <c r="N25" s="31">
        <f t="shared" si="3"/>
        <v>11</v>
      </c>
      <c r="O25" s="8" t="str">
        <f t="shared" si="4"/>
        <v>Hitano-ECR</v>
      </c>
      <c r="P25" s="12" t="str">
        <f t="shared" si="0"/>
        <v>Hitano R-05.0x11.0</v>
      </c>
      <c r="Q25" s="12" t="str">
        <f t="shared" si="5"/>
        <v>33µF</v>
      </c>
      <c r="R25" s="12" t="str">
        <f t="shared" si="6"/>
        <v>16v</v>
      </c>
      <c r="S25" s="8" t="str">
        <f t="shared" si="1"/>
        <v>33µF 16v - R05.0-11.0 Hitano (ECR)</v>
      </c>
      <c r="T25" s="8">
        <f t="shared" si="7"/>
        <v>1</v>
      </c>
      <c r="U25" s="8" t="b">
        <f>NOT(ISNA(MATCH($P25,Packages!$A:$A,0)))</f>
        <v>1</v>
      </c>
    </row>
    <row r="26" spans="1:21" hidden="1">
      <c r="A26" s="6" t="s">
        <v>49</v>
      </c>
      <c r="B26" s="6" t="s">
        <v>50</v>
      </c>
      <c r="C26" s="33">
        <v>47</v>
      </c>
      <c r="D26" s="34">
        <v>16</v>
      </c>
      <c r="E26" s="6" t="s">
        <v>68</v>
      </c>
      <c r="F26" s="6" t="s">
        <v>59</v>
      </c>
      <c r="G26" s="6"/>
      <c r="H26" s="7" t="s">
        <v>141</v>
      </c>
      <c r="I26" s="7" t="str">
        <f t="shared" si="8"/>
        <v>HITANO</v>
      </c>
      <c r="J26" s="7" t="str">
        <f t="shared" si="9"/>
        <v>47µF 16v</v>
      </c>
      <c r="K26" s="7"/>
      <c r="L26" s="7" t="str">
        <f t="shared" si="10"/>
        <v>ECR</v>
      </c>
      <c r="M26" s="31">
        <f t="shared" si="2"/>
        <v>5</v>
      </c>
      <c r="N26" s="31">
        <f t="shared" si="3"/>
        <v>11</v>
      </c>
      <c r="O26" s="8" t="str">
        <f t="shared" si="4"/>
        <v>Hitano-ECR</v>
      </c>
      <c r="P26" s="12" t="str">
        <f t="shared" si="0"/>
        <v>Hitano R-05.0x11.0</v>
      </c>
      <c r="Q26" s="12" t="str">
        <f t="shared" si="5"/>
        <v>47µF</v>
      </c>
      <c r="R26" s="12" t="str">
        <f t="shared" si="6"/>
        <v>16v</v>
      </c>
      <c r="S26" s="8" t="str">
        <f t="shared" si="1"/>
        <v>47µF 16v - R05.0-11.0 Hitano (ECR)</v>
      </c>
      <c r="T26" s="8">
        <f t="shared" si="7"/>
        <v>1</v>
      </c>
      <c r="U26" s="8" t="b">
        <f>NOT(ISNA(MATCH($P26,Packages!$A:$A,0)))</f>
        <v>1</v>
      </c>
    </row>
    <row r="27" spans="1:21" hidden="1">
      <c r="A27" s="6" t="s">
        <v>49</v>
      </c>
      <c r="B27" s="6" t="s">
        <v>50</v>
      </c>
      <c r="C27" s="33">
        <v>100</v>
      </c>
      <c r="D27" s="34">
        <v>16</v>
      </c>
      <c r="E27" s="6" t="s">
        <v>68</v>
      </c>
      <c r="F27" s="6" t="s">
        <v>59</v>
      </c>
      <c r="G27" s="6"/>
      <c r="H27" s="7" t="s">
        <v>141</v>
      </c>
      <c r="I27" s="7" t="str">
        <f t="shared" si="8"/>
        <v>HITANO</v>
      </c>
      <c r="J27" s="7" t="str">
        <f t="shared" si="9"/>
        <v>100µF 16v</v>
      </c>
      <c r="K27" s="7"/>
      <c r="L27" s="7" t="str">
        <f t="shared" si="10"/>
        <v>ECR</v>
      </c>
      <c r="M27" s="31">
        <f t="shared" si="2"/>
        <v>5</v>
      </c>
      <c r="N27" s="31">
        <f t="shared" si="3"/>
        <v>11</v>
      </c>
      <c r="O27" s="8" t="str">
        <f t="shared" si="4"/>
        <v>Hitano-ECR</v>
      </c>
      <c r="P27" s="12" t="str">
        <f t="shared" si="0"/>
        <v>Hitano R-05.0x11.0</v>
      </c>
      <c r="Q27" s="12" t="str">
        <f t="shared" si="5"/>
        <v>100µF</v>
      </c>
      <c r="R27" s="12" t="str">
        <f t="shared" si="6"/>
        <v>16v</v>
      </c>
      <c r="S27" s="8" t="str">
        <f t="shared" si="1"/>
        <v>100µF 16v - R05.0-11.0 Hitano (ECR)</v>
      </c>
      <c r="T27" s="8">
        <f t="shared" si="7"/>
        <v>1</v>
      </c>
      <c r="U27" s="8" t="b">
        <f>NOT(ISNA(MATCH($P27,Packages!$A:$A,0)))</f>
        <v>1</v>
      </c>
    </row>
    <row r="28" spans="1:21" hidden="1">
      <c r="A28" s="6" t="s">
        <v>49</v>
      </c>
      <c r="B28" s="6" t="s">
        <v>50</v>
      </c>
      <c r="C28" s="33">
        <v>220</v>
      </c>
      <c r="D28" s="34">
        <v>16</v>
      </c>
      <c r="E28" s="6" t="s">
        <v>69</v>
      </c>
      <c r="F28" s="6" t="s">
        <v>59</v>
      </c>
      <c r="G28" s="6"/>
      <c r="H28" s="7" t="s">
        <v>141</v>
      </c>
      <c r="I28" s="7" t="str">
        <f t="shared" si="8"/>
        <v>HITANO</v>
      </c>
      <c r="J28" s="7" t="str">
        <f t="shared" si="9"/>
        <v>220µF 16v</v>
      </c>
      <c r="K28" s="7"/>
      <c r="L28" s="7" t="str">
        <f t="shared" si="10"/>
        <v>ECR</v>
      </c>
      <c r="M28" s="31">
        <f t="shared" si="2"/>
        <v>6.3</v>
      </c>
      <c r="N28" s="31">
        <f t="shared" si="3"/>
        <v>11</v>
      </c>
      <c r="O28" s="8" t="str">
        <f t="shared" si="4"/>
        <v>Hitano-ECR</v>
      </c>
      <c r="P28" s="12" t="str">
        <f t="shared" si="0"/>
        <v>Hitano R-06.0x11.0</v>
      </c>
      <c r="Q28" s="12" t="str">
        <f t="shared" si="5"/>
        <v>220µF</v>
      </c>
      <c r="R28" s="12" t="str">
        <f t="shared" si="6"/>
        <v>16v</v>
      </c>
      <c r="S28" s="8" t="str">
        <f t="shared" si="1"/>
        <v>220µF 16v - R06.3-11.0 Hitano (ECR)</v>
      </c>
      <c r="T28" s="8">
        <f t="shared" si="7"/>
        <v>1</v>
      </c>
      <c r="U28" s="8" t="b">
        <f>NOT(ISNA(MATCH($P28,Packages!$A:$A,0)))</f>
        <v>1</v>
      </c>
    </row>
    <row r="29" spans="1:21" hidden="1">
      <c r="A29" s="6" t="s">
        <v>49</v>
      </c>
      <c r="B29" s="6" t="s">
        <v>50</v>
      </c>
      <c r="C29" s="33">
        <v>330</v>
      </c>
      <c r="D29" s="34">
        <v>16</v>
      </c>
      <c r="E29" s="6" t="s">
        <v>71</v>
      </c>
      <c r="F29" s="6" t="s">
        <v>59</v>
      </c>
      <c r="G29" s="6"/>
      <c r="H29" s="7" t="s">
        <v>141</v>
      </c>
      <c r="I29" s="7" t="str">
        <f t="shared" si="8"/>
        <v>HITANO</v>
      </c>
      <c r="J29" s="7" t="str">
        <f t="shared" si="9"/>
        <v>330µF 16v</v>
      </c>
      <c r="K29" s="7"/>
      <c r="L29" s="7" t="str">
        <f t="shared" si="10"/>
        <v>ECR</v>
      </c>
      <c r="M29" s="31">
        <f t="shared" si="2"/>
        <v>8</v>
      </c>
      <c r="N29" s="31">
        <f t="shared" si="3"/>
        <v>12</v>
      </c>
      <c r="O29" s="8" t="str">
        <f t="shared" si="4"/>
        <v>Hitano-ECR</v>
      </c>
      <c r="P29" s="12" t="str">
        <f t="shared" si="0"/>
        <v>Hitano R-08.0x12.0</v>
      </c>
      <c r="Q29" s="12" t="str">
        <f t="shared" si="5"/>
        <v>330µF</v>
      </c>
      <c r="R29" s="12" t="str">
        <f t="shared" si="6"/>
        <v>16v</v>
      </c>
      <c r="S29" s="8" t="str">
        <f t="shared" si="1"/>
        <v>330µF 16v - R08.0-12.0 Hitano (ECR)</v>
      </c>
      <c r="T29" s="8">
        <f t="shared" si="7"/>
        <v>1</v>
      </c>
      <c r="U29" s="8" t="b">
        <f>NOT(ISNA(MATCH($P29,Packages!$A:$A,0)))</f>
        <v>1</v>
      </c>
    </row>
    <row r="30" spans="1:21" hidden="1">
      <c r="A30" s="6" t="s">
        <v>49</v>
      </c>
      <c r="B30" s="6" t="s">
        <v>50</v>
      </c>
      <c r="C30" s="33">
        <v>470</v>
      </c>
      <c r="D30" s="34">
        <v>16</v>
      </c>
      <c r="E30" s="6" t="s">
        <v>71</v>
      </c>
      <c r="F30" s="6" t="s">
        <v>59</v>
      </c>
      <c r="G30" s="6"/>
      <c r="H30" s="7" t="s">
        <v>141</v>
      </c>
      <c r="I30" s="7" t="str">
        <f t="shared" si="8"/>
        <v>HITANO</v>
      </c>
      <c r="J30" s="7" t="str">
        <f t="shared" si="9"/>
        <v>470µF 16v</v>
      </c>
      <c r="K30" s="7"/>
      <c r="L30" s="7" t="str">
        <f t="shared" si="10"/>
        <v>ECR</v>
      </c>
      <c r="M30" s="31">
        <f t="shared" si="2"/>
        <v>8</v>
      </c>
      <c r="N30" s="31">
        <f t="shared" si="3"/>
        <v>12</v>
      </c>
      <c r="O30" s="8" t="str">
        <f t="shared" si="4"/>
        <v>Hitano-ECR</v>
      </c>
      <c r="P30" s="12" t="str">
        <f t="shared" si="0"/>
        <v>Hitano R-08.0x12.0</v>
      </c>
      <c r="Q30" s="12" t="str">
        <f t="shared" si="5"/>
        <v>470µF</v>
      </c>
      <c r="R30" s="12" t="str">
        <f t="shared" si="6"/>
        <v>16v</v>
      </c>
      <c r="S30" s="8" t="str">
        <f t="shared" si="1"/>
        <v>470µF 16v - R08.0-12.0 Hitano (ECR)</v>
      </c>
      <c r="T30" s="8">
        <f t="shared" si="7"/>
        <v>1</v>
      </c>
      <c r="U30" s="8" t="b">
        <f>NOT(ISNA(MATCH($P30,Packages!$A:$A,0)))</f>
        <v>1</v>
      </c>
    </row>
    <row r="31" spans="1:21" hidden="1">
      <c r="A31" s="6" t="s">
        <v>49</v>
      </c>
      <c r="B31" s="6" t="s">
        <v>50</v>
      </c>
      <c r="C31" s="33">
        <v>1000</v>
      </c>
      <c r="D31" s="34">
        <v>16</v>
      </c>
      <c r="E31" s="6" t="s">
        <v>74</v>
      </c>
      <c r="F31" s="6" t="s">
        <v>59</v>
      </c>
      <c r="G31" s="6"/>
      <c r="H31" s="7" t="s">
        <v>141</v>
      </c>
      <c r="I31" s="7" t="str">
        <f t="shared" si="8"/>
        <v>HITANO</v>
      </c>
      <c r="J31" s="7" t="str">
        <f t="shared" si="9"/>
        <v>1000µF 16v</v>
      </c>
      <c r="K31" s="7"/>
      <c r="L31" s="7" t="str">
        <f t="shared" si="10"/>
        <v>ECR</v>
      </c>
      <c r="M31" s="31">
        <f t="shared" si="2"/>
        <v>10</v>
      </c>
      <c r="N31" s="31">
        <f t="shared" si="3"/>
        <v>16</v>
      </c>
      <c r="O31" s="8" t="str">
        <f t="shared" si="4"/>
        <v>Hitano-ECR</v>
      </c>
      <c r="P31" s="12" t="str">
        <f t="shared" si="0"/>
        <v>Hitano R-10.0x16.0</v>
      </c>
      <c r="Q31" s="12" t="str">
        <f t="shared" si="5"/>
        <v>1000µF</v>
      </c>
      <c r="R31" s="12" t="str">
        <f t="shared" si="6"/>
        <v>16v</v>
      </c>
      <c r="S31" s="8" t="str">
        <f t="shared" si="1"/>
        <v>1000µF 16v - R10.0-16.0 Hitano (ECR)</v>
      </c>
      <c r="T31" s="8">
        <f t="shared" si="7"/>
        <v>1</v>
      </c>
      <c r="U31" s="8" t="b">
        <f>NOT(ISNA(MATCH($P31,Packages!$A:$A,0)))</f>
        <v>1</v>
      </c>
    </row>
    <row r="32" spans="1:21" hidden="1">
      <c r="A32" s="6" t="s">
        <v>49</v>
      </c>
      <c r="B32" s="6" t="s">
        <v>50</v>
      </c>
      <c r="C32" s="33">
        <v>2200</v>
      </c>
      <c r="D32" s="34">
        <v>16</v>
      </c>
      <c r="E32" s="6" t="s">
        <v>76</v>
      </c>
      <c r="F32" s="6" t="s">
        <v>59</v>
      </c>
      <c r="G32" s="6"/>
      <c r="H32" s="7" t="s">
        <v>141</v>
      </c>
      <c r="I32" s="7" t="str">
        <f t="shared" si="8"/>
        <v>HITANO</v>
      </c>
      <c r="J32" s="7" t="str">
        <f t="shared" si="9"/>
        <v>2200µF 16v</v>
      </c>
      <c r="K32" s="7"/>
      <c r="L32" s="7" t="str">
        <f t="shared" si="10"/>
        <v>ECR</v>
      </c>
      <c r="M32" s="31">
        <f t="shared" si="2"/>
        <v>13</v>
      </c>
      <c r="N32" s="31">
        <f t="shared" si="3"/>
        <v>21</v>
      </c>
      <c r="O32" s="8" t="str">
        <f t="shared" si="4"/>
        <v>Hitano-ECR</v>
      </c>
      <c r="P32" s="12" t="str">
        <f t="shared" si="0"/>
        <v>Hitano R-13.0x21.0</v>
      </c>
      <c r="Q32" s="12" t="str">
        <f t="shared" si="5"/>
        <v>2200µF</v>
      </c>
      <c r="R32" s="12" t="str">
        <f t="shared" si="6"/>
        <v>16v</v>
      </c>
      <c r="S32" s="8" t="str">
        <f t="shared" si="1"/>
        <v>2200µF 16v - R13.0-21.0 Hitano (ECR)</v>
      </c>
      <c r="T32" s="8">
        <f t="shared" si="7"/>
        <v>1</v>
      </c>
      <c r="U32" s="8" t="b">
        <f>NOT(ISNA(MATCH($P32,Packages!$A:$A,0)))</f>
        <v>1</v>
      </c>
    </row>
    <row r="33" spans="1:21" hidden="1">
      <c r="A33" s="6" t="s">
        <v>49</v>
      </c>
      <c r="B33" s="6" t="s">
        <v>50</v>
      </c>
      <c r="C33" s="33">
        <v>3300</v>
      </c>
      <c r="D33" s="34">
        <v>16</v>
      </c>
      <c r="E33" s="6" t="s">
        <v>77</v>
      </c>
      <c r="F33" s="6" t="s">
        <v>59</v>
      </c>
      <c r="G33" s="6"/>
      <c r="H33" s="7" t="s">
        <v>141</v>
      </c>
      <c r="I33" s="7" t="str">
        <f t="shared" si="8"/>
        <v>HITANO</v>
      </c>
      <c r="J33" s="7" t="str">
        <f t="shared" si="9"/>
        <v>3300µF 16v</v>
      </c>
      <c r="K33" s="7"/>
      <c r="L33" s="7" t="str">
        <f t="shared" si="10"/>
        <v>ECR</v>
      </c>
      <c r="M33" s="31">
        <f t="shared" si="2"/>
        <v>13</v>
      </c>
      <c r="N33" s="31">
        <f t="shared" si="3"/>
        <v>26</v>
      </c>
      <c r="O33" s="8" t="str">
        <f t="shared" si="4"/>
        <v>Hitano-ECR</v>
      </c>
      <c r="P33" s="12" t="str">
        <f t="shared" si="0"/>
        <v>Hitano R-13.0x26.0</v>
      </c>
      <c r="Q33" s="12" t="str">
        <f t="shared" si="5"/>
        <v>3300µF</v>
      </c>
      <c r="R33" s="12" t="str">
        <f t="shared" si="6"/>
        <v>16v</v>
      </c>
      <c r="S33" s="8" t="str">
        <f t="shared" si="1"/>
        <v>3300µF 16v - R13.0-26.0 Hitano (ECR)</v>
      </c>
      <c r="T33" s="8">
        <f t="shared" si="7"/>
        <v>1</v>
      </c>
      <c r="U33" s="8" t="b">
        <f>NOT(ISNA(MATCH($P33,Packages!$A:$A,0)))</f>
        <v>1</v>
      </c>
    </row>
    <row r="34" spans="1:21" hidden="1">
      <c r="A34" s="6" t="s">
        <v>49</v>
      </c>
      <c r="B34" s="6" t="s">
        <v>50</v>
      </c>
      <c r="C34" s="33">
        <v>4700</v>
      </c>
      <c r="D34" s="34">
        <v>16</v>
      </c>
      <c r="E34" s="6" t="s">
        <v>78</v>
      </c>
      <c r="F34" s="6" t="s">
        <v>59</v>
      </c>
      <c r="G34" s="6"/>
      <c r="H34" s="7" t="s">
        <v>141</v>
      </c>
      <c r="I34" s="7" t="str">
        <f t="shared" si="8"/>
        <v>HITANO</v>
      </c>
      <c r="J34" s="7" t="str">
        <f t="shared" si="9"/>
        <v>4700µF 16v</v>
      </c>
      <c r="K34" s="7"/>
      <c r="L34" s="7" t="str">
        <f t="shared" si="10"/>
        <v>ECR</v>
      </c>
      <c r="M34" s="31">
        <f t="shared" si="2"/>
        <v>16</v>
      </c>
      <c r="N34" s="31">
        <f t="shared" si="3"/>
        <v>26</v>
      </c>
      <c r="O34" s="8" t="str">
        <f t="shared" si="4"/>
        <v>Hitano-ECR</v>
      </c>
      <c r="P34" s="12" t="str">
        <f t="shared" si="0"/>
        <v>Hitano R-16.0x26.0</v>
      </c>
      <c r="Q34" s="12" t="str">
        <f t="shared" si="5"/>
        <v>4700µF</v>
      </c>
      <c r="R34" s="12" t="str">
        <f t="shared" si="6"/>
        <v>16v</v>
      </c>
      <c r="S34" s="8" t="str">
        <f t="shared" si="1"/>
        <v>4700µF 16v - R16.0-26.0 Hitano (ECR)</v>
      </c>
      <c r="T34" s="8">
        <f t="shared" si="7"/>
        <v>1</v>
      </c>
      <c r="U34" s="8" t="b">
        <f>NOT(ISNA(MATCH($P34,Packages!$A:$A,0)))</f>
        <v>1</v>
      </c>
    </row>
    <row r="35" spans="1:21" hidden="1">
      <c r="A35" s="6" t="s">
        <v>49</v>
      </c>
      <c r="B35" s="6" t="s">
        <v>50</v>
      </c>
      <c r="C35" s="33">
        <v>6800</v>
      </c>
      <c r="D35" s="34">
        <v>16</v>
      </c>
      <c r="E35" s="6" t="s">
        <v>81</v>
      </c>
      <c r="F35" s="6" t="s">
        <v>59</v>
      </c>
      <c r="G35" s="6"/>
      <c r="H35" s="7" t="s">
        <v>141</v>
      </c>
      <c r="I35" s="7" t="str">
        <f t="shared" si="8"/>
        <v>HITANO</v>
      </c>
      <c r="J35" s="7" t="str">
        <f t="shared" si="9"/>
        <v>6800µF 16v</v>
      </c>
      <c r="K35" s="7"/>
      <c r="L35" s="7" t="str">
        <f t="shared" si="10"/>
        <v>ECR</v>
      </c>
      <c r="M35" s="31">
        <f t="shared" si="2"/>
        <v>16</v>
      </c>
      <c r="N35" s="31">
        <f t="shared" si="3"/>
        <v>32</v>
      </c>
      <c r="O35" s="8" t="str">
        <f t="shared" si="4"/>
        <v>Hitano-ECR</v>
      </c>
      <c r="P35" s="12" t="str">
        <f t="shared" si="0"/>
        <v>Hitano R-16.0x32.0</v>
      </c>
      <c r="Q35" s="12" t="str">
        <f t="shared" si="5"/>
        <v>6800µF</v>
      </c>
      <c r="R35" s="12" t="str">
        <f t="shared" si="6"/>
        <v>16v</v>
      </c>
      <c r="S35" s="8" t="str">
        <f t="shared" si="1"/>
        <v>6800µF 16v - R16.0-32.0 Hitano (ECR)</v>
      </c>
      <c r="T35" s="8">
        <f t="shared" si="7"/>
        <v>1</v>
      </c>
      <c r="U35" s="8" t="b">
        <f>NOT(ISNA(MATCH($P35,Packages!$A:$A,0)))</f>
        <v>1</v>
      </c>
    </row>
    <row r="36" spans="1:21" hidden="1">
      <c r="A36" s="6" t="s">
        <v>49</v>
      </c>
      <c r="B36" s="6" t="s">
        <v>50</v>
      </c>
      <c r="C36" s="33">
        <v>10000</v>
      </c>
      <c r="D36" s="34">
        <v>16</v>
      </c>
      <c r="E36" s="6" t="s">
        <v>80</v>
      </c>
      <c r="F36" s="6" t="s">
        <v>59</v>
      </c>
      <c r="G36" s="6"/>
      <c r="H36" s="7" t="s">
        <v>141</v>
      </c>
      <c r="I36" s="7" t="str">
        <f t="shared" si="8"/>
        <v>HITANO</v>
      </c>
      <c r="J36" s="7" t="str">
        <f t="shared" si="9"/>
        <v>10000µF 16v</v>
      </c>
      <c r="K36" s="7"/>
      <c r="L36" s="7" t="str">
        <f t="shared" si="10"/>
        <v>ECR</v>
      </c>
      <c r="M36" s="31">
        <f t="shared" si="2"/>
        <v>18</v>
      </c>
      <c r="N36" s="31">
        <f t="shared" si="3"/>
        <v>36</v>
      </c>
      <c r="O36" s="8" t="str">
        <f t="shared" si="4"/>
        <v>Hitano-ECR</v>
      </c>
      <c r="P36" s="12" t="str">
        <f t="shared" si="0"/>
        <v>Hitano R-18.0x36.0</v>
      </c>
      <c r="Q36" s="12" t="str">
        <f t="shared" si="5"/>
        <v>10000µF</v>
      </c>
      <c r="R36" s="12" t="str">
        <f t="shared" si="6"/>
        <v>16v</v>
      </c>
      <c r="S36" s="8" t="str">
        <f t="shared" si="1"/>
        <v>10000µF 16v - R18.0-36.0 Hitano (ECR)</v>
      </c>
      <c r="T36" s="8">
        <f t="shared" si="7"/>
        <v>1</v>
      </c>
      <c r="U36" s="8" t="b">
        <f>NOT(ISNA(MATCH($P36,Packages!$A:$A,0)))</f>
        <v>1</v>
      </c>
    </row>
    <row r="37" spans="1:21" hidden="1">
      <c r="A37" s="6" t="s">
        <v>49</v>
      </c>
      <c r="B37" s="6" t="s">
        <v>50</v>
      </c>
      <c r="C37" s="33">
        <v>10</v>
      </c>
      <c r="D37" s="34">
        <v>25</v>
      </c>
      <c r="E37" s="6" t="s">
        <v>68</v>
      </c>
      <c r="F37" s="6" t="s">
        <v>59</v>
      </c>
      <c r="G37" s="6"/>
      <c r="H37" s="7" t="s">
        <v>141</v>
      </c>
      <c r="I37" s="7" t="str">
        <f t="shared" si="8"/>
        <v>HITANO</v>
      </c>
      <c r="J37" s="7" t="str">
        <f t="shared" si="9"/>
        <v>10µF 25v</v>
      </c>
      <c r="K37" s="7"/>
      <c r="L37" s="7" t="str">
        <f t="shared" si="10"/>
        <v>ECR</v>
      </c>
      <c r="M37" s="31">
        <f t="shared" si="2"/>
        <v>5</v>
      </c>
      <c r="N37" s="31">
        <f t="shared" si="3"/>
        <v>11</v>
      </c>
      <c r="O37" s="8" t="str">
        <f t="shared" si="4"/>
        <v>Hitano-ECR</v>
      </c>
      <c r="P37" s="12" t="str">
        <f t="shared" si="0"/>
        <v>Hitano R-05.0x11.0</v>
      </c>
      <c r="Q37" s="12" t="str">
        <f t="shared" si="5"/>
        <v>10µF</v>
      </c>
      <c r="R37" s="12" t="str">
        <f t="shared" si="6"/>
        <v>25v</v>
      </c>
      <c r="S37" s="8" t="str">
        <f t="shared" si="1"/>
        <v>10µF 25v - R05.0-11.0 Hitano (ECR)</v>
      </c>
      <c r="T37" s="8">
        <f t="shared" si="7"/>
        <v>1</v>
      </c>
      <c r="U37" s="8" t="b">
        <f>NOT(ISNA(MATCH($P37,Packages!$A:$A,0)))</f>
        <v>1</v>
      </c>
    </row>
    <row r="38" spans="1:21" hidden="1">
      <c r="A38" s="6" t="s">
        <v>49</v>
      </c>
      <c r="B38" s="6" t="s">
        <v>50</v>
      </c>
      <c r="C38" s="33">
        <v>22</v>
      </c>
      <c r="D38" s="34">
        <v>25</v>
      </c>
      <c r="E38" s="6" t="s">
        <v>68</v>
      </c>
      <c r="F38" s="6" t="s">
        <v>59</v>
      </c>
      <c r="G38" s="6"/>
      <c r="H38" s="7" t="s">
        <v>141</v>
      </c>
      <c r="I38" s="7" t="str">
        <f t="shared" si="8"/>
        <v>HITANO</v>
      </c>
      <c r="J38" s="7" t="str">
        <f t="shared" si="9"/>
        <v>22µF 25v</v>
      </c>
      <c r="K38" s="7"/>
      <c r="L38" s="7" t="str">
        <f t="shared" si="10"/>
        <v>ECR</v>
      </c>
      <c r="M38" s="31">
        <f t="shared" si="2"/>
        <v>5</v>
      </c>
      <c r="N38" s="31">
        <f t="shared" si="3"/>
        <v>11</v>
      </c>
      <c r="O38" s="8" t="str">
        <f t="shared" si="4"/>
        <v>Hitano-ECR</v>
      </c>
      <c r="P38" s="12" t="str">
        <f t="shared" si="0"/>
        <v>Hitano R-05.0x11.0</v>
      </c>
      <c r="Q38" s="12" t="str">
        <f t="shared" si="5"/>
        <v>22µF</v>
      </c>
      <c r="R38" s="12" t="str">
        <f t="shared" si="6"/>
        <v>25v</v>
      </c>
      <c r="S38" s="8" t="str">
        <f t="shared" si="1"/>
        <v>22µF 25v - R05.0-11.0 Hitano (ECR)</v>
      </c>
      <c r="T38" s="8">
        <f t="shared" si="7"/>
        <v>1</v>
      </c>
      <c r="U38" s="8" t="b">
        <f>NOT(ISNA(MATCH($P38,Packages!$A:$A,0)))</f>
        <v>1</v>
      </c>
    </row>
    <row r="39" spans="1:21" hidden="1">
      <c r="A39" s="6" t="s">
        <v>49</v>
      </c>
      <c r="B39" s="6" t="s">
        <v>50</v>
      </c>
      <c r="C39" s="33">
        <v>33</v>
      </c>
      <c r="D39" s="34">
        <v>25</v>
      </c>
      <c r="E39" s="6" t="s">
        <v>68</v>
      </c>
      <c r="F39" s="6" t="s">
        <v>59</v>
      </c>
      <c r="G39" s="6"/>
      <c r="H39" s="7" t="s">
        <v>141</v>
      </c>
      <c r="I39" s="7" t="str">
        <f t="shared" si="8"/>
        <v>HITANO</v>
      </c>
      <c r="J39" s="7" t="str">
        <f t="shared" si="9"/>
        <v>33µF 25v</v>
      </c>
      <c r="K39" s="7"/>
      <c r="L39" s="7" t="str">
        <f t="shared" si="10"/>
        <v>ECR</v>
      </c>
      <c r="M39" s="31">
        <f t="shared" si="2"/>
        <v>5</v>
      </c>
      <c r="N39" s="31">
        <f t="shared" si="3"/>
        <v>11</v>
      </c>
      <c r="O39" s="8" t="str">
        <f t="shared" si="4"/>
        <v>Hitano-ECR</v>
      </c>
      <c r="P39" s="12" t="str">
        <f t="shared" si="0"/>
        <v>Hitano R-05.0x11.0</v>
      </c>
      <c r="Q39" s="12" t="str">
        <f t="shared" si="5"/>
        <v>33µF</v>
      </c>
      <c r="R39" s="12" t="str">
        <f t="shared" si="6"/>
        <v>25v</v>
      </c>
      <c r="S39" s="8" t="str">
        <f t="shared" si="1"/>
        <v>33µF 25v - R05.0-11.0 Hitano (ECR)</v>
      </c>
      <c r="T39" s="8">
        <f t="shared" si="7"/>
        <v>1</v>
      </c>
      <c r="U39" s="8" t="b">
        <f>NOT(ISNA(MATCH($P39,Packages!$A:$A,0)))</f>
        <v>1</v>
      </c>
    </row>
    <row r="40" spans="1:21" hidden="1">
      <c r="A40" s="6" t="s">
        <v>49</v>
      </c>
      <c r="B40" s="6" t="s">
        <v>50</v>
      </c>
      <c r="C40" s="33">
        <v>47</v>
      </c>
      <c r="D40" s="34">
        <v>25</v>
      </c>
      <c r="E40" s="6" t="s">
        <v>68</v>
      </c>
      <c r="F40" s="6" t="s">
        <v>59</v>
      </c>
      <c r="G40" s="6"/>
      <c r="H40" s="7" t="s">
        <v>141</v>
      </c>
      <c r="I40" s="7" t="str">
        <f t="shared" si="8"/>
        <v>HITANO</v>
      </c>
      <c r="J40" s="7" t="str">
        <f t="shared" si="9"/>
        <v>47µF 25v</v>
      </c>
      <c r="K40" s="7"/>
      <c r="L40" s="7" t="str">
        <f t="shared" si="10"/>
        <v>ECR</v>
      </c>
      <c r="M40" s="31">
        <f t="shared" si="2"/>
        <v>5</v>
      </c>
      <c r="N40" s="31">
        <f t="shared" si="3"/>
        <v>11</v>
      </c>
      <c r="O40" s="8" t="str">
        <f t="shared" si="4"/>
        <v>Hitano-ECR</v>
      </c>
      <c r="P40" s="12" t="str">
        <f t="shared" si="0"/>
        <v>Hitano R-05.0x11.0</v>
      </c>
      <c r="Q40" s="12" t="str">
        <f t="shared" si="5"/>
        <v>47µF</v>
      </c>
      <c r="R40" s="12" t="str">
        <f t="shared" si="6"/>
        <v>25v</v>
      </c>
      <c r="S40" s="8" t="str">
        <f t="shared" si="1"/>
        <v>47µF 25v - R05.0-11.0 Hitano (ECR)</v>
      </c>
      <c r="T40" s="8">
        <f t="shared" si="7"/>
        <v>1</v>
      </c>
      <c r="U40" s="8" t="b">
        <f>NOT(ISNA(MATCH($P40,Packages!$A:$A,0)))</f>
        <v>1</v>
      </c>
    </row>
    <row r="41" spans="1:21" hidden="1">
      <c r="A41" s="6" t="s">
        <v>49</v>
      </c>
      <c r="B41" s="6" t="s">
        <v>50</v>
      </c>
      <c r="C41" s="33">
        <v>100</v>
      </c>
      <c r="D41" s="34">
        <v>25</v>
      </c>
      <c r="E41" s="6" t="s">
        <v>69</v>
      </c>
      <c r="F41" s="6" t="s">
        <v>59</v>
      </c>
      <c r="G41" s="6"/>
      <c r="H41" s="7" t="s">
        <v>141</v>
      </c>
      <c r="I41" s="7" t="str">
        <f t="shared" si="8"/>
        <v>HITANO</v>
      </c>
      <c r="J41" s="7" t="str">
        <f t="shared" si="9"/>
        <v>100µF 25v</v>
      </c>
      <c r="K41" s="7"/>
      <c r="L41" s="7" t="str">
        <f t="shared" si="10"/>
        <v>ECR</v>
      </c>
      <c r="M41" s="31">
        <f t="shared" si="2"/>
        <v>6.3</v>
      </c>
      <c r="N41" s="31">
        <f t="shared" si="3"/>
        <v>11</v>
      </c>
      <c r="O41" s="8" t="str">
        <f t="shared" si="4"/>
        <v>Hitano-ECR</v>
      </c>
      <c r="P41" s="12" t="str">
        <f t="shared" si="0"/>
        <v>Hitano R-06.0x11.0</v>
      </c>
      <c r="Q41" s="12" t="str">
        <f t="shared" si="5"/>
        <v>100µF</v>
      </c>
      <c r="R41" s="12" t="str">
        <f t="shared" si="6"/>
        <v>25v</v>
      </c>
      <c r="S41" s="8" t="str">
        <f t="shared" si="1"/>
        <v>100µF 25v - R06.3-11.0 Hitano (ECR)</v>
      </c>
      <c r="T41" s="8">
        <f t="shared" si="7"/>
        <v>1</v>
      </c>
      <c r="U41" s="8" t="b">
        <f>NOT(ISNA(MATCH($P41,Packages!$A:$A,0)))</f>
        <v>1</v>
      </c>
    </row>
    <row r="42" spans="1:21" hidden="1">
      <c r="A42" s="6" t="s">
        <v>49</v>
      </c>
      <c r="B42" s="6" t="s">
        <v>50</v>
      </c>
      <c r="C42" s="33">
        <v>220</v>
      </c>
      <c r="D42" s="34">
        <v>25</v>
      </c>
      <c r="E42" s="6" t="s">
        <v>71</v>
      </c>
      <c r="F42" s="6" t="s">
        <v>59</v>
      </c>
      <c r="G42" s="6"/>
      <c r="H42" s="7" t="s">
        <v>141</v>
      </c>
      <c r="I42" s="7" t="str">
        <f t="shared" si="8"/>
        <v>HITANO</v>
      </c>
      <c r="J42" s="7" t="str">
        <f t="shared" si="9"/>
        <v>220µF 25v</v>
      </c>
      <c r="K42" s="7"/>
      <c r="L42" s="7" t="str">
        <f t="shared" si="10"/>
        <v>ECR</v>
      </c>
      <c r="M42" s="31">
        <f t="shared" si="2"/>
        <v>8</v>
      </c>
      <c r="N42" s="31">
        <f t="shared" si="3"/>
        <v>12</v>
      </c>
      <c r="O42" s="8" t="str">
        <f t="shared" si="4"/>
        <v>Hitano-ECR</v>
      </c>
      <c r="P42" s="12" t="str">
        <f t="shared" si="0"/>
        <v>Hitano R-08.0x12.0</v>
      </c>
      <c r="Q42" s="12" t="str">
        <f t="shared" si="5"/>
        <v>220µF</v>
      </c>
      <c r="R42" s="12" t="str">
        <f t="shared" si="6"/>
        <v>25v</v>
      </c>
      <c r="S42" s="8" t="str">
        <f t="shared" si="1"/>
        <v>220µF 25v - R08.0-12.0 Hitano (ECR)</v>
      </c>
      <c r="T42" s="8">
        <f t="shared" si="7"/>
        <v>1</v>
      </c>
      <c r="U42" s="8" t="b">
        <f>NOT(ISNA(MATCH($P42,Packages!$A:$A,0)))</f>
        <v>1</v>
      </c>
    </row>
    <row r="43" spans="1:21" hidden="1">
      <c r="A43" s="6" t="s">
        <v>49</v>
      </c>
      <c r="B43" s="6" t="s">
        <v>50</v>
      </c>
      <c r="C43" s="33">
        <v>330</v>
      </c>
      <c r="D43" s="34">
        <v>25</v>
      </c>
      <c r="E43" s="6" t="s">
        <v>71</v>
      </c>
      <c r="F43" s="6" t="s">
        <v>59</v>
      </c>
      <c r="G43" s="6"/>
      <c r="H43" s="7" t="s">
        <v>141</v>
      </c>
      <c r="I43" s="7" t="str">
        <f t="shared" si="8"/>
        <v>HITANO</v>
      </c>
      <c r="J43" s="7" t="str">
        <f t="shared" si="9"/>
        <v>330µF 25v</v>
      </c>
      <c r="K43" s="7"/>
      <c r="L43" s="7" t="str">
        <f t="shared" si="10"/>
        <v>ECR</v>
      </c>
      <c r="M43" s="31">
        <f t="shared" si="2"/>
        <v>8</v>
      </c>
      <c r="N43" s="31">
        <f t="shared" si="3"/>
        <v>12</v>
      </c>
      <c r="O43" s="8" t="str">
        <f t="shared" si="4"/>
        <v>Hitano-ECR</v>
      </c>
      <c r="P43" s="12" t="str">
        <f t="shared" si="0"/>
        <v>Hitano R-08.0x12.0</v>
      </c>
      <c r="Q43" s="12" t="str">
        <f t="shared" si="5"/>
        <v>330µF</v>
      </c>
      <c r="R43" s="12" t="str">
        <f t="shared" si="6"/>
        <v>25v</v>
      </c>
      <c r="S43" s="8" t="str">
        <f t="shared" si="1"/>
        <v>330µF 25v - R08.0-12.0 Hitano (ECR)</v>
      </c>
      <c r="T43" s="8">
        <f t="shared" si="7"/>
        <v>1</v>
      </c>
      <c r="U43" s="8" t="b">
        <f>NOT(ISNA(MATCH($P43,Packages!$A:$A,0)))</f>
        <v>1</v>
      </c>
    </row>
    <row r="44" spans="1:21" hidden="1">
      <c r="A44" s="6" t="s">
        <v>49</v>
      </c>
      <c r="B44" s="6" t="s">
        <v>50</v>
      </c>
      <c r="C44" s="33">
        <v>470</v>
      </c>
      <c r="D44" s="34">
        <v>25</v>
      </c>
      <c r="E44" s="6" t="s">
        <v>73</v>
      </c>
      <c r="F44" s="6" t="s">
        <v>59</v>
      </c>
      <c r="G44" s="6"/>
      <c r="H44" s="7" t="s">
        <v>141</v>
      </c>
      <c r="I44" s="7" t="str">
        <f t="shared" si="8"/>
        <v>HITANO</v>
      </c>
      <c r="J44" s="7" t="str">
        <f t="shared" si="9"/>
        <v>470µF 25v</v>
      </c>
      <c r="K44" s="7"/>
      <c r="L44" s="7" t="str">
        <f t="shared" si="10"/>
        <v>ECR</v>
      </c>
      <c r="M44" s="31">
        <f t="shared" si="2"/>
        <v>8</v>
      </c>
      <c r="N44" s="31">
        <f t="shared" si="3"/>
        <v>14</v>
      </c>
      <c r="O44" s="8" t="str">
        <f t="shared" si="4"/>
        <v>Hitano-ECR</v>
      </c>
      <c r="P44" s="12" t="str">
        <f t="shared" si="0"/>
        <v>Hitano R-08.0x14.0</v>
      </c>
      <c r="Q44" s="12" t="str">
        <f t="shared" si="5"/>
        <v>470µF</v>
      </c>
      <c r="R44" s="12" t="str">
        <f t="shared" si="6"/>
        <v>25v</v>
      </c>
      <c r="S44" s="8" t="str">
        <f t="shared" si="1"/>
        <v>470µF 25v - R08.0-14.0 Hitano (ECR)</v>
      </c>
      <c r="T44" s="8">
        <f t="shared" si="7"/>
        <v>1</v>
      </c>
      <c r="U44" s="8" t="b">
        <f>NOT(ISNA(MATCH($P44,Packages!$A:$A,0)))</f>
        <v>1</v>
      </c>
    </row>
    <row r="45" spans="1:21" hidden="1">
      <c r="A45" s="6" t="s">
        <v>49</v>
      </c>
      <c r="B45" s="6" t="s">
        <v>50</v>
      </c>
      <c r="C45" s="33">
        <v>470</v>
      </c>
      <c r="D45" s="34">
        <v>25</v>
      </c>
      <c r="E45" s="6" t="s">
        <v>72</v>
      </c>
      <c r="F45" s="6" t="s">
        <v>59</v>
      </c>
      <c r="G45" s="6"/>
      <c r="H45" s="7" t="s">
        <v>141</v>
      </c>
      <c r="I45" s="7" t="str">
        <f t="shared" si="8"/>
        <v>HITANO</v>
      </c>
      <c r="J45" s="7" t="str">
        <f t="shared" si="9"/>
        <v>470µF 25v</v>
      </c>
      <c r="K45" s="7"/>
      <c r="L45" s="7" t="str">
        <f t="shared" si="10"/>
        <v>ECR</v>
      </c>
      <c r="M45" s="31">
        <f t="shared" si="2"/>
        <v>10</v>
      </c>
      <c r="N45" s="31">
        <f t="shared" si="3"/>
        <v>13</v>
      </c>
      <c r="O45" s="8" t="str">
        <f t="shared" si="4"/>
        <v>Hitano-ECR</v>
      </c>
      <c r="P45" s="12" t="str">
        <f t="shared" si="0"/>
        <v>Hitano R-10.0x13.0</v>
      </c>
      <c r="Q45" s="12" t="str">
        <f t="shared" si="5"/>
        <v>470µF</v>
      </c>
      <c r="R45" s="12" t="str">
        <f t="shared" si="6"/>
        <v>25v</v>
      </c>
      <c r="S45" s="8" t="str">
        <f t="shared" si="1"/>
        <v>470µF 25v - R10.0-13.0 Hitano (ECR)</v>
      </c>
      <c r="T45" s="8">
        <f t="shared" si="7"/>
        <v>1</v>
      </c>
      <c r="U45" s="8" t="b">
        <f>NOT(ISNA(MATCH($P45,Packages!$A:$A,0)))</f>
        <v>1</v>
      </c>
    </row>
    <row r="46" spans="1:21" hidden="1">
      <c r="A46" s="6" t="s">
        <v>49</v>
      </c>
      <c r="B46" s="6" t="s">
        <v>50</v>
      </c>
      <c r="C46" s="33">
        <v>1000</v>
      </c>
      <c r="D46" s="34">
        <v>25</v>
      </c>
      <c r="E46" s="6" t="s">
        <v>75</v>
      </c>
      <c r="F46" s="6" t="s">
        <v>59</v>
      </c>
      <c r="G46" s="6"/>
      <c r="H46" s="7" t="s">
        <v>141</v>
      </c>
      <c r="I46" s="7" t="str">
        <f t="shared" si="8"/>
        <v>HITANO</v>
      </c>
      <c r="J46" s="7" t="str">
        <f t="shared" si="9"/>
        <v>1000µF 25v</v>
      </c>
      <c r="K46" s="7"/>
      <c r="L46" s="7" t="str">
        <f t="shared" si="10"/>
        <v>ECR</v>
      </c>
      <c r="M46" s="31">
        <f t="shared" si="2"/>
        <v>10</v>
      </c>
      <c r="N46" s="31">
        <f t="shared" si="3"/>
        <v>21</v>
      </c>
      <c r="O46" s="8" t="str">
        <f t="shared" si="4"/>
        <v>Hitano-ECR</v>
      </c>
      <c r="P46" s="12" t="str">
        <f t="shared" si="0"/>
        <v>Hitano R-10.0x21.0</v>
      </c>
      <c r="Q46" s="12" t="str">
        <f t="shared" si="5"/>
        <v>1000µF</v>
      </c>
      <c r="R46" s="12" t="str">
        <f t="shared" si="6"/>
        <v>25v</v>
      </c>
      <c r="S46" s="8" t="str">
        <f t="shared" si="1"/>
        <v>1000µF 25v - R10.0-21.0 Hitano (ECR)</v>
      </c>
      <c r="T46" s="8">
        <f t="shared" si="7"/>
        <v>1</v>
      </c>
      <c r="U46" s="8" t="b">
        <f>NOT(ISNA(MATCH($P46,Packages!$A:$A,0)))</f>
        <v>1</v>
      </c>
    </row>
    <row r="47" spans="1:21" hidden="1">
      <c r="A47" s="6" t="s">
        <v>49</v>
      </c>
      <c r="B47" s="6" t="s">
        <v>50</v>
      </c>
      <c r="C47" s="33">
        <v>2200</v>
      </c>
      <c r="D47" s="34">
        <v>25</v>
      </c>
      <c r="E47" s="6" t="s">
        <v>76</v>
      </c>
      <c r="F47" s="6" t="s">
        <v>59</v>
      </c>
      <c r="G47" s="6"/>
      <c r="H47" s="7" t="s">
        <v>141</v>
      </c>
      <c r="I47" s="7" t="str">
        <f t="shared" si="8"/>
        <v>HITANO</v>
      </c>
      <c r="J47" s="7" t="str">
        <f t="shared" si="9"/>
        <v>2200µF 25v</v>
      </c>
      <c r="K47" s="7"/>
      <c r="L47" s="7" t="str">
        <f t="shared" si="10"/>
        <v>ECR</v>
      </c>
      <c r="M47" s="31">
        <f t="shared" si="2"/>
        <v>13</v>
      </c>
      <c r="N47" s="31">
        <f t="shared" si="3"/>
        <v>21</v>
      </c>
      <c r="O47" s="8" t="str">
        <f t="shared" si="4"/>
        <v>Hitano-ECR</v>
      </c>
      <c r="P47" s="12" t="str">
        <f t="shared" si="0"/>
        <v>Hitano R-13.0x21.0</v>
      </c>
      <c r="Q47" s="12" t="str">
        <f t="shared" si="5"/>
        <v>2200µF</v>
      </c>
      <c r="R47" s="12" t="str">
        <f t="shared" si="6"/>
        <v>25v</v>
      </c>
      <c r="S47" s="8" t="str">
        <f t="shared" si="1"/>
        <v>2200µF 25v - R13.0-21.0 Hitano (ECR)</v>
      </c>
      <c r="T47" s="8">
        <f t="shared" si="7"/>
        <v>1</v>
      </c>
      <c r="U47" s="8" t="b">
        <f>NOT(ISNA(MATCH($P47,Packages!$A:$A,0)))</f>
        <v>1</v>
      </c>
    </row>
    <row r="48" spans="1:21" hidden="1">
      <c r="A48" s="6" t="s">
        <v>49</v>
      </c>
      <c r="B48" s="6" t="s">
        <v>50</v>
      </c>
      <c r="C48" s="33">
        <v>2200</v>
      </c>
      <c r="D48" s="34">
        <v>25</v>
      </c>
      <c r="E48" s="6" t="s">
        <v>77</v>
      </c>
      <c r="F48" s="6" t="s">
        <v>59</v>
      </c>
      <c r="G48" s="6"/>
      <c r="H48" s="7" t="s">
        <v>141</v>
      </c>
      <c r="I48" s="7" t="str">
        <f t="shared" si="8"/>
        <v>HITANO</v>
      </c>
      <c r="J48" s="7" t="str">
        <f t="shared" si="9"/>
        <v>2200µF 25v</v>
      </c>
      <c r="K48" s="7"/>
      <c r="L48" s="7" t="str">
        <f t="shared" si="10"/>
        <v>ECR</v>
      </c>
      <c r="M48" s="31">
        <f t="shared" si="2"/>
        <v>13</v>
      </c>
      <c r="N48" s="31">
        <f t="shared" si="3"/>
        <v>26</v>
      </c>
      <c r="O48" s="8" t="str">
        <f t="shared" si="4"/>
        <v>Hitano-ECR</v>
      </c>
      <c r="P48" s="12" t="str">
        <f t="shared" si="0"/>
        <v>Hitano R-13.0x26.0</v>
      </c>
      <c r="Q48" s="12" t="str">
        <f t="shared" si="5"/>
        <v>2200µF</v>
      </c>
      <c r="R48" s="12" t="str">
        <f t="shared" si="6"/>
        <v>25v</v>
      </c>
      <c r="S48" s="8" t="str">
        <f t="shared" si="1"/>
        <v>2200µF 25v - R13.0-26.0 Hitano (ECR)</v>
      </c>
      <c r="T48" s="8">
        <f t="shared" si="7"/>
        <v>1</v>
      </c>
      <c r="U48" s="8" t="b">
        <f>NOT(ISNA(MATCH($P48,Packages!$A:$A,0)))</f>
        <v>1</v>
      </c>
    </row>
    <row r="49" spans="1:21" hidden="1">
      <c r="A49" s="6" t="s">
        <v>49</v>
      </c>
      <c r="B49" s="6" t="s">
        <v>50</v>
      </c>
      <c r="C49" s="33">
        <v>3300</v>
      </c>
      <c r="D49" s="34">
        <v>25</v>
      </c>
      <c r="E49" s="6" t="s">
        <v>78</v>
      </c>
      <c r="F49" s="6" t="s">
        <v>59</v>
      </c>
      <c r="G49" s="6"/>
      <c r="H49" s="7" t="s">
        <v>141</v>
      </c>
      <c r="I49" s="7" t="str">
        <f t="shared" si="8"/>
        <v>HITANO</v>
      </c>
      <c r="J49" s="7" t="str">
        <f t="shared" si="9"/>
        <v>3300µF 25v</v>
      </c>
      <c r="K49" s="7"/>
      <c r="L49" s="7" t="str">
        <f t="shared" si="10"/>
        <v>ECR</v>
      </c>
      <c r="M49" s="31">
        <f t="shared" si="2"/>
        <v>16</v>
      </c>
      <c r="N49" s="31">
        <f t="shared" si="3"/>
        <v>26</v>
      </c>
      <c r="O49" s="8" t="str">
        <f t="shared" si="4"/>
        <v>Hitano-ECR</v>
      </c>
      <c r="P49" s="12" t="str">
        <f t="shared" si="0"/>
        <v>Hitano R-16.0x26.0</v>
      </c>
      <c r="Q49" s="12" t="str">
        <f t="shared" si="5"/>
        <v>3300µF</v>
      </c>
      <c r="R49" s="12" t="str">
        <f t="shared" si="6"/>
        <v>25v</v>
      </c>
      <c r="S49" s="8" t="str">
        <f t="shared" si="1"/>
        <v>3300µF 25v - R16.0-26.0 Hitano (ECR)</v>
      </c>
      <c r="T49" s="8">
        <f t="shared" si="7"/>
        <v>1</v>
      </c>
      <c r="U49" s="8" t="b">
        <f>NOT(ISNA(MATCH($P49,Packages!$A:$A,0)))</f>
        <v>1</v>
      </c>
    </row>
    <row r="50" spans="1:21" hidden="1">
      <c r="A50" s="6" t="s">
        <v>49</v>
      </c>
      <c r="B50" s="6" t="s">
        <v>50</v>
      </c>
      <c r="C50" s="33">
        <v>4700</v>
      </c>
      <c r="D50" s="34">
        <v>25</v>
      </c>
      <c r="E50" s="6" t="s">
        <v>81</v>
      </c>
      <c r="F50" s="6" t="s">
        <v>59</v>
      </c>
      <c r="G50" s="6"/>
      <c r="H50" s="7" t="s">
        <v>141</v>
      </c>
      <c r="I50" s="7" t="str">
        <f t="shared" si="8"/>
        <v>HITANO</v>
      </c>
      <c r="J50" s="7" t="str">
        <f t="shared" si="9"/>
        <v>4700µF 25v</v>
      </c>
      <c r="K50" s="7"/>
      <c r="L50" s="7" t="str">
        <f t="shared" si="10"/>
        <v>ECR</v>
      </c>
      <c r="M50" s="31">
        <f t="shared" si="2"/>
        <v>16</v>
      </c>
      <c r="N50" s="31">
        <f t="shared" si="3"/>
        <v>32</v>
      </c>
      <c r="O50" s="8" t="str">
        <f t="shared" si="4"/>
        <v>Hitano-ECR</v>
      </c>
      <c r="P50" s="12" t="str">
        <f t="shared" si="0"/>
        <v>Hitano R-16.0x32.0</v>
      </c>
      <c r="Q50" s="12" t="str">
        <f t="shared" si="5"/>
        <v>4700µF</v>
      </c>
      <c r="R50" s="12" t="str">
        <f t="shared" si="6"/>
        <v>25v</v>
      </c>
      <c r="S50" s="8" t="str">
        <f t="shared" si="1"/>
        <v>4700µF 25v - R16.0-32.0 Hitano (ECR)</v>
      </c>
      <c r="T50" s="8">
        <f t="shared" si="7"/>
        <v>1</v>
      </c>
      <c r="U50" s="8" t="b">
        <f>NOT(ISNA(MATCH($P50,Packages!$A:$A,0)))</f>
        <v>1</v>
      </c>
    </row>
    <row r="51" spans="1:21" hidden="1">
      <c r="A51" s="6" t="s">
        <v>49</v>
      </c>
      <c r="B51" s="6" t="s">
        <v>50</v>
      </c>
      <c r="C51" s="33">
        <v>6800</v>
      </c>
      <c r="D51" s="34">
        <v>25</v>
      </c>
      <c r="E51" s="6" t="s">
        <v>80</v>
      </c>
      <c r="F51" s="6" t="s">
        <v>59</v>
      </c>
      <c r="G51" s="6"/>
      <c r="H51" s="7" t="s">
        <v>141</v>
      </c>
      <c r="I51" s="7" t="str">
        <f t="shared" si="8"/>
        <v>HITANO</v>
      </c>
      <c r="J51" s="7" t="str">
        <f t="shared" si="9"/>
        <v>6800µF 25v</v>
      </c>
      <c r="K51" s="7"/>
      <c r="L51" s="7" t="str">
        <f t="shared" si="10"/>
        <v>ECR</v>
      </c>
      <c r="M51" s="31">
        <f t="shared" si="2"/>
        <v>18</v>
      </c>
      <c r="N51" s="31">
        <f t="shared" si="3"/>
        <v>36</v>
      </c>
      <c r="O51" s="8" t="str">
        <f t="shared" si="4"/>
        <v>Hitano-ECR</v>
      </c>
      <c r="P51" s="12" t="str">
        <f t="shared" si="0"/>
        <v>Hitano R-18.0x36.0</v>
      </c>
      <c r="Q51" s="12" t="str">
        <f t="shared" si="5"/>
        <v>6800µF</v>
      </c>
      <c r="R51" s="12" t="str">
        <f t="shared" si="6"/>
        <v>25v</v>
      </c>
      <c r="S51" s="8" t="str">
        <f t="shared" si="1"/>
        <v>6800µF 25v - R18.0-36.0 Hitano (ECR)</v>
      </c>
      <c r="T51" s="8">
        <f t="shared" si="7"/>
        <v>1</v>
      </c>
      <c r="U51" s="8" t="b">
        <f>NOT(ISNA(MATCH($P51,Packages!$A:$A,0)))</f>
        <v>1</v>
      </c>
    </row>
    <row r="52" spans="1:21" hidden="1">
      <c r="A52" s="6" t="s">
        <v>49</v>
      </c>
      <c r="B52" s="6" t="s">
        <v>50</v>
      </c>
      <c r="C52" s="33">
        <v>10000</v>
      </c>
      <c r="D52" s="34">
        <v>25</v>
      </c>
      <c r="E52" s="6" t="s">
        <v>84</v>
      </c>
      <c r="F52" s="6" t="s">
        <v>59</v>
      </c>
      <c r="G52" s="6"/>
      <c r="H52" s="7" t="s">
        <v>141</v>
      </c>
      <c r="I52" s="7" t="str">
        <f t="shared" si="8"/>
        <v>HITANO</v>
      </c>
      <c r="J52" s="7" t="str">
        <f t="shared" si="9"/>
        <v>10000µF 25v</v>
      </c>
      <c r="K52" s="7"/>
      <c r="L52" s="7" t="str">
        <f t="shared" si="10"/>
        <v>ECR</v>
      </c>
      <c r="M52" s="31">
        <f t="shared" si="2"/>
        <v>18</v>
      </c>
      <c r="N52" s="31">
        <f t="shared" si="3"/>
        <v>41</v>
      </c>
      <c r="O52" s="8" t="str">
        <f t="shared" si="4"/>
        <v>Hitano-ECR</v>
      </c>
      <c r="P52" s="12" t="str">
        <f t="shared" si="0"/>
        <v>Hitano R-18.0x41.0</v>
      </c>
      <c r="Q52" s="12" t="str">
        <f t="shared" si="5"/>
        <v>10000µF</v>
      </c>
      <c r="R52" s="12" t="str">
        <f t="shared" si="6"/>
        <v>25v</v>
      </c>
      <c r="S52" s="8" t="str">
        <f t="shared" si="1"/>
        <v>10000µF 25v - R18.0-41.0 Hitano (ECR)</v>
      </c>
      <c r="T52" s="8">
        <f t="shared" si="7"/>
        <v>1</v>
      </c>
      <c r="U52" s="8" t="b">
        <f>NOT(ISNA(MATCH($P52,Packages!$A:$A,0)))</f>
        <v>1</v>
      </c>
    </row>
    <row r="53" spans="1:21" hidden="1">
      <c r="A53" s="6" t="s">
        <v>49</v>
      </c>
      <c r="B53" s="6" t="s">
        <v>50</v>
      </c>
      <c r="C53" s="33">
        <v>10000</v>
      </c>
      <c r="D53" s="34">
        <v>25</v>
      </c>
      <c r="E53" s="6" t="s">
        <v>85</v>
      </c>
      <c r="F53" s="6" t="s">
        <v>59</v>
      </c>
      <c r="G53" s="6"/>
      <c r="H53" s="7" t="s">
        <v>141</v>
      </c>
      <c r="I53" s="7" t="str">
        <f t="shared" si="8"/>
        <v>HITANO</v>
      </c>
      <c r="J53" s="7" t="str">
        <f t="shared" si="9"/>
        <v>10000µF 25v</v>
      </c>
      <c r="K53" s="7"/>
      <c r="L53" s="7" t="str">
        <f t="shared" si="10"/>
        <v>ECR</v>
      </c>
      <c r="M53" s="31">
        <f t="shared" si="2"/>
        <v>22</v>
      </c>
      <c r="N53" s="31">
        <f t="shared" si="3"/>
        <v>36</v>
      </c>
      <c r="O53" s="8" t="str">
        <f t="shared" si="4"/>
        <v>Hitano-ECR</v>
      </c>
      <c r="P53" s="12" t="str">
        <f t="shared" si="0"/>
        <v>Hitano R-22.0x36.0</v>
      </c>
      <c r="Q53" s="12" t="str">
        <f t="shared" si="5"/>
        <v>10000µF</v>
      </c>
      <c r="R53" s="12" t="str">
        <f t="shared" si="6"/>
        <v>25v</v>
      </c>
      <c r="S53" s="8" t="str">
        <f t="shared" si="1"/>
        <v>10000µF 25v - R22.0-36.0 Hitano (ECR)</v>
      </c>
      <c r="T53" s="8">
        <f t="shared" si="7"/>
        <v>1</v>
      </c>
      <c r="U53" s="8" t="b">
        <f>NOT(ISNA(MATCH($P53,Packages!$A:$A,0)))</f>
        <v>1</v>
      </c>
    </row>
    <row r="54" spans="1:21" hidden="1">
      <c r="A54" s="6" t="s">
        <v>49</v>
      </c>
      <c r="B54" s="6" t="s">
        <v>50</v>
      </c>
      <c r="C54" s="33">
        <v>10</v>
      </c>
      <c r="D54" s="34">
        <v>35</v>
      </c>
      <c r="E54" s="6" t="s">
        <v>68</v>
      </c>
      <c r="F54" s="6" t="s">
        <v>59</v>
      </c>
      <c r="G54" s="6"/>
      <c r="H54" s="7" t="s">
        <v>141</v>
      </c>
      <c r="I54" s="7" t="str">
        <f t="shared" si="8"/>
        <v>HITANO</v>
      </c>
      <c r="J54" s="7" t="str">
        <f t="shared" si="9"/>
        <v>10µF 35v</v>
      </c>
      <c r="K54" s="7"/>
      <c r="L54" s="7" t="str">
        <f t="shared" si="10"/>
        <v>ECR</v>
      </c>
      <c r="M54" s="31">
        <f t="shared" si="2"/>
        <v>5</v>
      </c>
      <c r="N54" s="31">
        <f t="shared" si="3"/>
        <v>11</v>
      </c>
      <c r="O54" s="8" t="str">
        <f t="shared" si="4"/>
        <v>Hitano-ECR</v>
      </c>
      <c r="P54" s="12" t="str">
        <f t="shared" si="0"/>
        <v>Hitano R-05.0x11.0</v>
      </c>
      <c r="Q54" s="12" t="str">
        <f t="shared" si="5"/>
        <v>10µF</v>
      </c>
      <c r="R54" s="12" t="str">
        <f t="shared" si="6"/>
        <v>35v</v>
      </c>
      <c r="S54" s="8" t="str">
        <f t="shared" si="1"/>
        <v>10µF 35v - R05.0-11.0 Hitano (ECR)</v>
      </c>
      <c r="T54" s="8">
        <f t="shared" si="7"/>
        <v>1</v>
      </c>
      <c r="U54" s="8" t="b">
        <f>NOT(ISNA(MATCH($P54,Packages!$A:$A,0)))</f>
        <v>1</v>
      </c>
    </row>
    <row r="55" spans="1:21" hidden="1">
      <c r="A55" s="6" t="s">
        <v>49</v>
      </c>
      <c r="B55" s="6" t="s">
        <v>50</v>
      </c>
      <c r="C55" s="33">
        <v>22</v>
      </c>
      <c r="D55" s="34">
        <v>35</v>
      </c>
      <c r="E55" s="6" t="s">
        <v>68</v>
      </c>
      <c r="F55" s="6" t="s">
        <v>59</v>
      </c>
      <c r="G55" s="6"/>
      <c r="H55" s="7" t="s">
        <v>141</v>
      </c>
      <c r="I55" s="7" t="str">
        <f t="shared" si="8"/>
        <v>HITANO</v>
      </c>
      <c r="J55" s="7" t="str">
        <f t="shared" si="9"/>
        <v>22µF 35v</v>
      </c>
      <c r="K55" s="7"/>
      <c r="L55" s="7" t="str">
        <f t="shared" si="10"/>
        <v>ECR</v>
      </c>
      <c r="M55" s="31">
        <f t="shared" si="2"/>
        <v>5</v>
      </c>
      <c r="N55" s="31">
        <f t="shared" si="3"/>
        <v>11</v>
      </c>
      <c r="O55" s="8" t="str">
        <f t="shared" si="4"/>
        <v>Hitano-ECR</v>
      </c>
      <c r="P55" s="12" t="str">
        <f t="shared" si="0"/>
        <v>Hitano R-05.0x11.0</v>
      </c>
      <c r="Q55" s="12" t="str">
        <f t="shared" si="5"/>
        <v>22µF</v>
      </c>
      <c r="R55" s="12" t="str">
        <f t="shared" si="6"/>
        <v>35v</v>
      </c>
      <c r="S55" s="8" t="str">
        <f t="shared" si="1"/>
        <v>22µF 35v - R05.0-11.0 Hitano (ECR)</v>
      </c>
      <c r="T55" s="8">
        <f t="shared" si="7"/>
        <v>1</v>
      </c>
      <c r="U55" s="8" t="b">
        <f>NOT(ISNA(MATCH($P55,Packages!$A:$A,0)))</f>
        <v>1</v>
      </c>
    </row>
    <row r="56" spans="1:21" hidden="1">
      <c r="A56" s="6" t="s">
        <v>49</v>
      </c>
      <c r="B56" s="6" t="s">
        <v>50</v>
      </c>
      <c r="C56" s="33">
        <v>33</v>
      </c>
      <c r="D56" s="34">
        <v>35</v>
      </c>
      <c r="E56" s="6" t="s">
        <v>68</v>
      </c>
      <c r="F56" s="6" t="s">
        <v>59</v>
      </c>
      <c r="G56" s="6"/>
      <c r="H56" s="7" t="s">
        <v>141</v>
      </c>
      <c r="I56" s="7" t="str">
        <f t="shared" si="8"/>
        <v>HITANO</v>
      </c>
      <c r="J56" s="7" t="str">
        <f t="shared" si="9"/>
        <v>33µF 35v</v>
      </c>
      <c r="K56" s="7"/>
      <c r="L56" s="7" t="str">
        <f t="shared" si="10"/>
        <v>ECR</v>
      </c>
      <c r="M56" s="31">
        <f t="shared" si="2"/>
        <v>5</v>
      </c>
      <c r="N56" s="31">
        <f t="shared" si="3"/>
        <v>11</v>
      </c>
      <c r="O56" s="8" t="str">
        <f t="shared" si="4"/>
        <v>Hitano-ECR</v>
      </c>
      <c r="P56" s="12" t="str">
        <f t="shared" si="0"/>
        <v>Hitano R-05.0x11.0</v>
      </c>
      <c r="Q56" s="12" t="str">
        <f t="shared" si="5"/>
        <v>33µF</v>
      </c>
      <c r="R56" s="12" t="str">
        <f t="shared" si="6"/>
        <v>35v</v>
      </c>
      <c r="S56" s="8" t="str">
        <f t="shared" si="1"/>
        <v>33µF 35v - R05.0-11.0 Hitano (ECR)</v>
      </c>
      <c r="T56" s="8">
        <f t="shared" si="7"/>
        <v>1</v>
      </c>
      <c r="U56" s="8" t="b">
        <f>NOT(ISNA(MATCH($P56,Packages!$A:$A,0)))</f>
        <v>1</v>
      </c>
    </row>
    <row r="57" spans="1:21" hidden="1">
      <c r="A57" s="6" t="s">
        <v>49</v>
      </c>
      <c r="B57" s="6" t="s">
        <v>50</v>
      </c>
      <c r="C57" s="33">
        <v>47</v>
      </c>
      <c r="D57" s="34">
        <v>35</v>
      </c>
      <c r="E57" s="6" t="s">
        <v>68</v>
      </c>
      <c r="F57" s="6" t="s">
        <v>59</v>
      </c>
      <c r="G57" s="6"/>
      <c r="H57" s="7" t="s">
        <v>141</v>
      </c>
      <c r="I57" s="7" t="str">
        <f t="shared" si="8"/>
        <v>HITANO</v>
      </c>
      <c r="J57" s="7" t="str">
        <f t="shared" si="9"/>
        <v>47µF 35v</v>
      </c>
      <c r="K57" s="7"/>
      <c r="L57" s="7" t="str">
        <f t="shared" si="10"/>
        <v>ECR</v>
      </c>
      <c r="M57" s="31">
        <f t="shared" si="2"/>
        <v>5</v>
      </c>
      <c r="N57" s="31">
        <f t="shared" si="3"/>
        <v>11</v>
      </c>
      <c r="O57" s="8" t="str">
        <f t="shared" si="4"/>
        <v>Hitano-ECR</v>
      </c>
      <c r="P57" s="12" t="str">
        <f t="shared" si="0"/>
        <v>Hitano R-05.0x11.0</v>
      </c>
      <c r="Q57" s="12" t="str">
        <f t="shared" si="5"/>
        <v>47µF</v>
      </c>
      <c r="R57" s="12" t="str">
        <f t="shared" si="6"/>
        <v>35v</v>
      </c>
      <c r="S57" s="8" t="str">
        <f t="shared" si="1"/>
        <v>47µF 35v - R05.0-11.0 Hitano (ECR)</v>
      </c>
      <c r="T57" s="8">
        <f t="shared" si="7"/>
        <v>1</v>
      </c>
      <c r="U57" s="8" t="b">
        <f>NOT(ISNA(MATCH($P57,Packages!$A:$A,0)))</f>
        <v>1</v>
      </c>
    </row>
    <row r="58" spans="1:21" hidden="1">
      <c r="A58" s="6" t="s">
        <v>49</v>
      </c>
      <c r="B58" s="6" t="s">
        <v>50</v>
      </c>
      <c r="C58" s="33">
        <v>47</v>
      </c>
      <c r="D58" s="34">
        <v>35</v>
      </c>
      <c r="E58" s="6" t="s">
        <v>69</v>
      </c>
      <c r="F58" s="6" t="s">
        <v>59</v>
      </c>
      <c r="G58" s="6"/>
      <c r="H58" s="7" t="s">
        <v>141</v>
      </c>
      <c r="I58" s="7" t="str">
        <f t="shared" si="8"/>
        <v>HITANO</v>
      </c>
      <c r="J58" s="7" t="str">
        <f t="shared" si="9"/>
        <v>47µF 35v</v>
      </c>
      <c r="K58" s="7"/>
      <c r="L58" s="7" t="str">
        <f t="shared" si="10"/>
        <v>ECR</v>
      </c>
      <c r="M58" s="31">
        <f t="shared" si="2"/>
        <v>6.3</v>
      </c>
      <c r="N58" s="31">
        <f t="shared" si="3"/>
        <v>11</v>
      </c>
      <c r="O58" s="8" t="str">
        <f t="shared" si="4"/>
        <v>Hitano-ECR</v>
      </c>
      <c r="P58" s="12" t="str">
        <f t="shared" si="0"/>
        <v>Hitano R-06.0x11.0</v>
      </c>
      <c r="Q58" s="12" t="str">
        <f t="shared" si="5"/>
        <v>47µF</v>
      </c>
      <c r="R58" s="12" t="str">
        <f t="shared" si="6"/>
        <v>35v</v>
      </c>
      <c r="S58" s="8" t="str">
        <f t="shared" si="1"/>
        <v>47µF 35v - R06.3-11.0 Hitano (ECR)</v>
      </c>
      <c r="T58" s="8">
        <f t="shared" si="7"/>
        <v>1</v>
      </c>
      <c r="U58" s="8" t="b">
        <f>NOT(ISNA(MATCH($P58,Packages!$A:$A,0)))</f>
        <v>1</v>
      </c>
    </row>
    <row r="59" spans="1:21" hidden="1">
      <c r="A59" s="6" t="s">
        <v>49</v>
      </c>
      <c r="B59" s="6" t="s">
        <v>50</v>
      </c>
      <c r="C59" s="33">
        <v>100</v>
      </c>
      <c r="D59" s="34">
        <v>35</v>
      </c>
      <c r="E59" s="6" t="s">
        <v>69</v>
      </c>
      <c r="F59" s="6" t="s">
        <v>59</v>
      </c>
      <c r="G59" s="6"/>
      <c r="H59" s="7" t="s">
        <v>141</v>
      </c>
      <c r="I59" s="7" t="str">
        <f t="shared" si="8"/>
        <v>HITANO</v>
      </c>
      <c r="J59" s="7" t="str">
        <f t="shared" si="9"/>
        <v>100µF 35v</v>
      </c>
      <c r="K59" s="7"/>
      <c r="L59" s="7" t="str">
        <f t="shared" si="10"/>
        <v>ECR</v>
      </c>
      <c r="M59" s="31">
        <f t="shared" si="2"/>
        <v>6.3</v>
      </c>
      <c r="N59" s="31">
        <f t="shared" si="3"/>
        <v>11</v>
      </c>
      <c r="O59" s="8" t="str">
        <f t="shared" si="4"/>
        <v>Hitano-ECR</v>
      </c>
      <c r="P59" s="12" t="str">
        <f t="shared" si="0"/>
        <v>Hitano R-06.0x11.0</v>
      </c>
      <c r="Q59" s="12" t="str">
        <f t="shared" si="5"/>
        <v>100µF</v>
      </c>
      <c r="R59" s="12" t="str">
        <f t="shared" si="6"/>
        <v>35v</v>
      </c>
      <c r="S59" s="8" t="str">
        <f t="shared" si="1"/>
        <v>100µF 35v - R06.3-11.0 Hitano (ECR)</v>
      </c>
      <c r="T59" s="8">
        <f t="shared" si="7"/>
        <v>1</v>
      </c>
      <c r="U59" s="8" t="b">
        <f>NOT(ISNA(MATCH($P59,Packages!$A:$A,0)))</f>
        <v>1</v>
      </c>
    </row>
    <row r="60" spans="1:21" hidden="1">
      <c r="A60" s="6" t="s">
        <v>49</v>
      </c>
      <c r="B60" s="6" t="s">
        <v>50</v>
      </c>
      <c r="C60" s="33">
        <v>100</v>
      </c>
      <c r="D60" s="34">
        <v>35</v>
      </c>
      <c r="E60" s="6" t="s">
        <v>71</v>
      </c>
      <c r="F60" s="6" t="s">
        <v>59</v>
      </c>
      <c r="G60" s="6"/>
      <c r="H60" s="7" t="s">
        <v>141</v>
      </c>
      <c r="I60" s="7" t="str">
        <f t="shared" si="8"/>
        <v>HITANO</v>
      </c>
      <c r="J60" s="7" t="str">
        <f t="shared" si="9"/>
        <v>100µF 35v</v>
      </c>
      <c r="K60" s="7"/>
      <c r="L60" s="7" t="str">
        <f t="shared" si="10"/>
        <v>ECR</v>
      </c>
      <c r="M60" s="31">
        <f t="shared" si="2"/>
        <v>8</v>
      </c>
      <c r="N60" s="31">
        <f t="shared" si="3"/>
        <v>12</v>
      </c>
      <c r="O60" s="8" t="str">
        <f t="shared" si="4"/>
        <v>Hitano-ECR</v>
      </c>
      <c r="P60" s="12" t="str">
        <f t="shared" si="0"/>
        <v>Hitano R-08.0x12.0</v>
      </c>
      <c r="Q60" s="12" t="str">
        <f t="shared" si="5"/>
        <v>100µF</v>
      </c>
      <c r="R60" s="12" t="str">
        <f t="shared" si="6"/>
        <v>35v</v>
      </c>
      <c r="S60" s="8" t="str">
        <f t="shared" si="1"/>
        <v>100µF 35v - R08.0-12.0 Hitano (ECR)</v>
      </c>
      <c r="T60" s="8">
        <f t="shared" si="7"/>
        <v>1</v>
      </c>
      <c r="U60" s="8" t="b">
        <f>NOT(ISNA(MATCH($P60,Packages!$A:$A,0)))</f>
        <v>1</v>
      </c>
    </row>
    <row r="61" spans="1:21" hidden="1">
      <c r="A61" s="6" t="s">
        <v>49</v>
      </c>
      <c r="B61" s="6" t="s">
        <v>50</v>
      </c>
      <c r="C61" s="33">
        <v>220</v>
      </c>
      <c r="D61" s="34">
        <v>35</v>
      </c>
      <c r="E61" s="6" t="s">
        <v>73</v>
      </c>
      <c r="F61" s="6" t="s">
        <v>59</v>
      </c>
      <c r="G61" s="6"/>
      <c r="H61" s="7" t="s">
        <v>141</v>
      </c>
      <c r="I61" s="7" t="str">
        <f t="shared" si="8"/>
        <v>HITANO</v>
      </c>
      <c r="J61" s="7" t="str">
        <f t="shared" si="9"/>
        <v>220µF 35v</v>
      </c>
      <c r="K61" s="7"/>
      <c r="L61" s="7" t="str">
        <f t="shared" si="10"/>
        <v>ECR</v>
      </c>
      <c r="M61" s="31">
        <f t="shared" si="2"/>
        <v>8</v>
      </c>
      <c r="N61" s="31">
        <f t="shared" si="3"/>
        <v>14</v>
      </c>
      <c r="O61" s="8" t="str">
        <f t="shared" si="4"/>
        <v>Hitano-ECR</v>
      </c>
      <c r="P61" s="12" t="str">
        <f t="shared" si="0"/>
        <v>Hitano R-08.0x14.0</v>
      </c>
      <c r="Q61" s="12" t="str">
        <f t="shared" si="5"/>
        <v>220µF</v>
      </c>
      <c r="R61" s="12" t="str">
        <f t="shared" si="6"/>
        <v>35v</v>
      </c>
      <c r="S61" s="8" t="str">
        <f t="shared" si="1"/>
        <v>220µF 35v - R08.0-14.0 Hitano (ECR)</v>
      </c>
      <c r="T61" s="8">
        <f t="shared" si="7"/>
        <v>1</v>
      </c>
      <c r="U61" s="8" t="b">
        <f>NOT(ISNA(MATCH($P61,Packages!$A:$A,0)))</f>
        <v>1</v>
      </c>
    </row>
    <row r="62" spans="1:21" hidden="1">
      <c r="A62" s="6" t="s">
        <v>49</v>
      </c>
      <c r="B62" s="6" t="s">
        <v>50</v>
      </c>
      <c r="C62" s="33">
        <v>220</v>
      </c>
      <c r="D62" s="34">
        <v>35</v>
      </c>
      <c r="E62" s="6" t="s">
        <v>72</v>
      </c>
      <c r="F62" s="6" t="s">
        <v>59</v>
      </c>
      <c r="G62" s="6"/>
      <c r="H62" s="7" t="s">
        <v>141</v>
      </c>
      <c r="I62" s="7" t="str">
        <f t="shared" si="8"/>
        <v>HITANO</v>
      </c>
      <c r="J62" s="7" t="str">
        <f t="shared" si="9"/>
        <v>220µF 35v</v>
      </c>
      <c r="K62" s="7"/>
      <c r="L62" s="7" t="str">
        <f t="shared" si="10"/>
        <v>ECR</v>
      </c>
      <c r="M62" s="31">
        <f t="shared" si="2"/>
        <v>10</v>
      </c>
      <c r="N62" s="31">
        <f t="shared" si="3"/>
        <v>13</v>
      </c>
      <c r="O62" s="8" t="str">
        <f t="shared" si="4"/>
        <v>Hitano-ECR</v>
      </c>
      <c r="P62" s="12" t="str">
        <f t="shared" si="0"/>
        <v>Hitano R-10.0x13.0</v>
      </c>
      <c r="Q62" s="12" t="str">
        <f t="shared" si="5"/>
        <v>220µF</v>
      </c>
      <c r="R62" s="12" t="str">
        <f t="shared" si="6"/>
        <v>35v</v>
      </c>
      <c r="S62" s="8" t="str">
        <f t="shared" si="1"/>
        <v>220µF 35v - R10.0-13.0 Hitano (ECR)</v>
      </c>
      <c r="T62" s="8">
        <f t="shared" si="7"/>
        <v>1</v>
      </c>
      <c r="U62" s="8" t="b">
        <f>NOT(ISNA(MATCH($P62,Packages!$A:$A,0)))</f>
        <v>1</v>
      </c>
    </row>
    <row r="63" spans="1:21" hidden="1">
      <c r="A63" s="6" t="s">
        <v>49</v>
      </c>
      <c r="B63" s="6" t="s">
        <v>50</v>
      </c>
      <c r="C63" s="33">
        <v>330</v>
      </c>
      <c r="D63" s="34">
        <v>35</v>
      </c>
      <c r="E63" s="6" t="s">
        <v>72</v>
      </c>
      <c r="F63" s="6" t="s">
        <v>59</v>
      </c>
      <c r="G63" s="6"/>
      <c r="H63" s="7" t="s">
        <v>141</v>
      </c>
      <c r="I63" s="7" t="str">
        <f t="shared" si="8"/>
        <v>HITANO</v>
      </c>
      <c r="J63" s="7" t="str">
        <f t="shared" si="9"/>
        <v>330µF 35v</v>
      </c>
      <c r="K63" s="7"/>
      <c r="L63" s="7" t="str">
        <f t="shared" si="10"/>
        <v>ECR</v>
      </c>
      <c r="M63" s="31">
        <f t="shared" si="2"/>
        <v>10</v>
      </c>
      <c r="N63" s="31">
        <f t="shared" si="3"/>
        <v>13</v>
      </c>
      <c r="O63" s="8" t="str">
        <f t="shared" si="4"/>
        <v>Hitano-ECR</v>
      </c>
      <c r="P63" s="12" t="str">
        <f t="shared" si="0"/>
        <v>Hitano R-10.0x13.0</v>
      </c>
      <c r="Q63" s="12" t="str">
        <f t="shared" si="5"/>
        <v>330µF</v>
      </c>
      <c r="R63" s="12" t="str">
        <f t="shared" si="6"/>
        <v>35v</v>
      </c>
      <c r="S63" s="8" t="str">
        <f t="shared" si="1"/>
        <v>330µF 35v - R10.0-13.0 Hitano (ECR)</v>
      </c>
      <c r="T63" s="8">
        <f t="shared" si="7"/>
        <v>1</v>
      </c>
      <c r="U63" s="8" t="b">
        <f>NOT(ISNA(MATCH($P63,Packages!$A:$A,0)))</f>
        <v>1</v>
      </c>
    </row>
    <row r="64" spans="1:21" hidden="1">
      <c r="A64" s="6" t="s">
        <v>49</v>
      </c>
      <c r="B64" s="6" t="s">
        <v>50</v>
      </c>
      <c r="C64" s="33">
        <v>470</v>
      </c>
      <c r="D64" s="34">
        <v>35</v>
      </c>
      <c r="E64" s="6" t="s">
        <v>74</v>
      </c>
      <c r="F64" s="6" t="s">
        <v>59</v>
      </c>
      <c r="G64" s="6"/>
      <c r="H64" s="7" t="s">
        <v>141</v>
      </c>
      <c r="I64" s="7" t="str">
        <f t="shared" si="8"/>
        <v>HITANO</v>
      </c>
      <c r="J64" s="7" t="str">
        <f t="shared" si="9"/>
        <v>470µF 35v</v>
      </c>
      <c r="K64" s="7"/>
      <c r="L64" s="7" t="str">
        <f t="shared" si="10"/>
        <v>ECR</v>
      </c>
      <c r="M64" s="31">
        <f t="shared" si="2"/>
        <v>10</v>
      </c>
      <c r="N64" s="31">
        <f t="shared" si="3"/>
        <v>16</v>
      </c>
      <c r="O64" s="8" t="str">
        <f t="shared" si="4"/>
        <v>Hitano-ECR</v>
      </c>
      <c r="P64" s="12" t="str">
        <f t="shared" si="0"/>
        <v>Hitano R-10.0x16.0</v>
      </c>
      <c r="Q64" s="12" t="str">
        <f t="shared" si="5"/>
        <v>470µF</v>
      </c>
      <c r="R64" s="12" t="str">
        <f t="shared" si="6"/>
        <v>35v</v>
      </c>
      <c r="S64" s="8" t="str">
        <f t="shared" si="1"/>
        <v>470µF 35v - R10.0-16.0 Hitano (ECR)</v>
      </c>
      <c r="T64" s="8">
        <f t="shared" si="7"/>
        <v>1</v>
      </c>
      <c r="U64" s="8" t="b">
        <f>NOT(ISNA(MATCH($P64,Packages!$A:$A,0)))</f>
        <v>1</v>
      </c>
    </row>
    <row r="65" spans="1:21" hidden="1">
      <c r="A65" s="6" t="s">
        <v>49</v>
      </c>
      <c r="B65" s="6" t="s">
        <v>50</v>
      </c>
      <c r="C65" s="33">
        <v>1000</v>
      </c>
      <c r="D65" s="34">
        <v>35</v>
      </c>
      <c r="E65" s="6" t="s">
        <v>76</v>
      </c>
      <c r="F65" s="6" t="s">
        <v>59</v>
      </c>
      <c r="G65" s="6"/>
      <c r="H65" s="7" t="s">
        <v>141</v>
      </c>
      <c r="I65" s="7" t="str">
        <f t="shared" si="8"/>
        <v>HITANO</v>
      </c>
      <c r="J65" s="7" t="str">
        <f t="shared" si="9"/>
        <v>1000µF 35v</v>
      </c>
      <c r="K65" s="7"/>
      <c r="L65" s="7" t="str">
        <f t="shared" si="10"/>
        <v>ECR</v>
      </c>
      <c r="M65" s="31">
        <f t="shared" si="2"/>
        <v>13</v>
      </c>
      <c r="N65" s="31">
        <f t="shared" si="3"/>
        <v>21</v>
      </c>
      <c r="O65" s="8" t="str">
        <f t="shared" si="4"/>
        <v>Hitano-ECR</v>
      </c>
      <c r="P65" s="12" t="str">
        <f t="shared" si="0"/>
        <v>Hitano R-13.0x21.0</v>
      </c>
      <c r="Q65" s="12" t="str">
        <f t="shared" si="5"/>
        <v>1000µF</v>
      </c>
      <c r="R65" s="12" t="str">
        <f t="shared" si="6"/>
        <v>35v</v>
      </c>
      <c r="S65" s="8" t="str">
        <f t="shared" si="1"/>
        <v>1000µF 35v - R13.0-21.0 Hitano (ECR)</v>
      </c>
      <c r="T65" s="8">
        <f t="shared" si="7"/>
        <v>1</v>
      </c>
      <c r="U65" s="8" t="b">
        <f>NOT(ISNA(MATCH($P65,Packages!$A:$A,0)))</f>
        <v>1</v>
      </c>
    </row>
    <row r="66" spans="1:21" hidden="1">
      <c r="A66" s="6" t="s">
        <v>49</v>
      </c>
      <c r="B66" s="6" t="s">
        <v>50</v>
      </c>
      <c r="C66" s="33">
        <v>2200</v>
      </c>
      <c r="D66" s="34">
        <v>35</v>
      </c>
      <c r="E66" s="6" t="s">
        <v>78</v>
      </c>
      <c r="F66" s="6" t="s">
        <v>59</v>
      </c>
      <c r="G66" s="6"/>
      <c r="H66" s="7" t="s">
        <v>141</v>
      </c>
      <c r="I66" s="7" t="str">
        <f t="shared" si="8"/>
        <v>HITANO</v>
      </c>
      <c r="J66" s="7" t="str">
        <f t="shared" si="9"/>
        <v>2200µF 35v</v>
      </c>
      <c r="K66" s="7"/>
      <c r="L66" s="7" t="str">
        <f t="shared" si="10"/>
        <v>ECR</v>
      </c>
      <c r="M66" s="31">
        <f t="shared" si="2"/>
        <v>16</v>
      </c>
      <c r="N66" s="31">
        <f t="shared" si="3"/>
        <v>26</v>
      </c>
      <c r="O66" s="8" t="str">
        <f t="shared" si="4"/>
        <v>Hitano-ECR</v>
      </c>
      <c r="P66" s="12" t="str">
        <f t="shared" ref="P66:P129" si="11">$A66&amp;" "&amp;LEFT($F66,1)&amp;"-"&amp;TEXT(ROUND($M66,0),"00.0")&amp;"x"&amp;TEXT(ROUND($N66,0),"00.0")</f>
        <v>Hitano R-16.0x26.0</v>
      </c>
      <c r="Q66" s="12" t="str">
        <f t="shared" si="5"/>
        <v>2200µF</v>
      </c>
      <c r="R66" s="12" t="str">
        <f t="shared" si="6"/>
        <v>35v</v>
      </c>
      <c r="S66" s="8" t="str">
        <f t="shared" ref="S66:S129" si="12">$Q66&amp;" "&amp;$R66&amp;" - "&amp;LEFT($F66,1)&amp;TEXT($M66,"00.0")&amp;"-"&amp;TEXT($N66,"00.0")&amp;" "&amp;A66&amp;" ("&amp;B66&amp;")"&amp;IF(ISBLANK($G66),""," "&amp;$G66)</f>
        <v>2200µF 35v - R16.0-26.0 Hitano (ECR)</v>
      </c>
      <c r="T66" s="8">
        <f t="shared" si="7"/>
        <v>1</v>
      </c>
      <c r="U66" s="8" t="b">
        <f>NOT(ISNA(MATCH($P66,Packages!$A:$A,0)))</f>
        <v>1</v>
      </c>
    </row>
    <row r="67" spans="1:21" hidden="1">
      <c r="A67" s="6" t="s">
        <v>49</v>
      </c>
      <c r="B67" s="6" t="s">
        <v>50</v>
      </c>
      <c r="C67" s="33">
        <v>3300</v>
      </c>
      <c r="D67" s="34">
        <v>35</v>
      </c>
      <c r="E67" s="6" t="s">
        <v>81</v>
      </c>
      <c r="F67" s="6" t="s">
        <v>59</v>
      </c>
      <c r="G67" s="6"/>
      <c r="H67" s="7" t="s">
        <v>141</v>
      </c>
      <c r="I67" s="7" t="str">
        <f t="shared" si="8"/>
        <v>HITANO</v>
      </c>
      <c r="J67" s="7" t="str">
        <f t="shared" si="9"/>
        <v>3300µF 35v</v>
      </c>
      <c r="K67" s="7"/>
      <c r="L67" s="7" t="str">
        <f t="shared" si="10"/>
        <v>ECR</v>
      </c>
      <c r="M67" s="31">
        <f t="shared" ref="M67:M130" si="13">VALUE(LEFT($E67,SEARCH("x",$E67)-1))</f>
        <v>16</v>
      </c>
      <c r="N67" s="31">
        <f t="shared" ref="N67:N130" si="14">VALUE(RIGHT($E67,LEN($E67)-SEARCH("x",$E67)))</f>
        <v>32</v>
      </c>
      <c r="O67" s="8" t="str">
        <f t="shared" ref="O67:O130" si="15">$A67&amp;"-"&amp;$B67</f>
        <v>Hitano-ECR</v>
      </c>
      <c r="P67" s="12" t="str">
        <f t="shared" si="11"/>
        <v>Hitano R-16.0x32.0</v>
      </c>
      <c r="Q67" s="12" t="str">
        <f t="shared" ref="Q67:Q130" si="16">TEXT($C67,"General"&amp;CHAR(34)&amp;"µF"&amp;CHAR(34))</f>
        <v>3300µF</v>
      </c>
      <c r="R67" s="12" t="str">
        <f t="shared" ref="R67:R130" si="17">TEXT($D67,"General"&amp;CHAR(34)&amp;"v"&amp;CHAR(34))</f>
        <v>35v</v>
      </c>
      <c r="S67" s="8" t="str">
        <f t="shared" si="12"/>
        <v>3300µF 35v - R16.0-32.0 Hitano (ECR)</v>
      </c>
      <c r="T67" s="8">
        <f t="shared" ref="T67:T130" si="18">COUNTIF($S:$S,$S67)</f>
        <v>1</v>
      </c>
      <c r="U67" s="8" t="b">
        <f>NOT(ISNA(MATCH($P67,Packages!$A:$A,0)))</f>
        <v>1</v>
      </c>
    </row>
    <row r="68" spans="1:21" hidden="1">
      <c r="A68" s="6" t="s">
        <v>49</v>
      </c>
      <c r="B68" s="6" t="s">
        <v>50</v>
      </c>
      <c r="C68" s="33">
        <v>4700</v>
      </c>
      <c r="D68" s="34">
        <v>35</v>
      </c>
      <c r="E68" s="6" t="s">
        <v>80</v>
      </c>
      <c r="F68" s="6" t="s">
        <v>59</v>
      </c>
      <c r="G68" s="6"/>
      <c r="H68" s="7" t="s">
        <v>141</v>
      </c>
      <c r="I68" s="7" t="str">
        <f t="shared" ref="I68:I131" si="19">UPPER($A68)</f>
        <v>HITANO</v>
      </c>
      <c r="J68" s="7" t="str">
        <f t="shared" ref="J68:J131" si="20">$Q68&amp;" "&amp;$R68</f>
        <v>4700µF 35v</v>
      </c>
      <c r="K68" s="7"/>
      <c r="L68" s="7" t="str">
        <f t="shared" ref="L68:L131" si="21">$B68</f>
        <v>ECR</v>
      </c>
      <c r="M68" s="31">
        <f t="shared" si="13"/>
        <v>18</v>
      </c>
      <c r="N68" s="31">
        <f t="shared" si="14"/>
        <v>36</v>
      </c>
      <c r="O68" s="8" t="str">
        <f t="shared" si="15"/>
        <v>Hitano-ECR</v>
      </c>
      <c r="P68" s="12" t="str">
        <f t="shared" si="11"/>
        <v>Hitano R-18.0x36.0</v>
      </c>
      <c r="Q68" s="12" t="str">
        <f t="shared" si="16"/>
        <v>4700µF</v>
      </c>
      <c r="R68" s="12" t="str">
        <f t="shared" si="17"/>
        <v>35v</v>
      </c>
      <c r="S68" s="8" t="str">
        <f t="shared" si="12"/>
        <v>4700µF 35v - R18.0-36.0 Hitano (ECR)</v>
      </c>
      <c r="T68" s="8">
        <f t="shared" si="18"/>
        <v>1</v>
      </c>
      <c r="U68" s="8" t="b">
        <f>NOT(ISNA(MATCH($P68,Packages!$A:$A,0)))</f>
        <v>1</v>
      </c>
    </row>
    <row r="69" spans="1:21" hidden="1">
      <c r="A69" s="6" t="s">
        <v>49</v>
      </c>
      <c r="B69" s="6" t="s">
        <v>50</v>
      </c>
      <c r="C69" s="33">
        <v>6800</v>
      </c>
      <c r="D69" s="34">
        <v>35</v>
      </c>
      <c r="E69" s="6" t="s">
        <v>84</v>
      </c>
      <c r="F69" s="6" t="s">
        <v>59</v>
      </c>
      <c r="G69" s="6"/>
      <c r="H69" s="7" t="s">
        <v>141</v>
      </c>
      <c r="I69" s="7" t="str">
        <f t="shared" si="19"/>
        <v>HITANO</v>
      </c>
      <c r="J69" s="7" t="str">
        <f t="shared" si="20"/>
        <v>6800µF 35v</v>
      </c>
      <c r="K69" s="7"/>
      <c r="L69" s="7" t="str">
        <f t="shared" si="21"/>
        <v>ECR</v>
      </c>
      <c r="M69" s="31">
        <f t="shared" si="13"/>
        <v>18</v>
      </c>
      <c r="N69" s="31">
        <f t="shared" si="14"/>
        <v>41</v>
      </c>
      <c r="O69" s="8" t="str">
        <f t="shared" si="15"/>
        <v>Hitano-ECR</v>
      </c>
      <c r="P69" s="12" t="str">
        <f t="shared" si="11"/>
        <v>Hitano R-18.0x41.0</v>
      </c>
      <c r="Q69" s="12" t="str">
        <f t="shared" si="16"/>
        <v>6800µF</v>
      </c>
      <c r="R69" s="12" t="str">
        <f t="shared" si="17"/>
        <v>35v</v>
      </c>
      <c r="S69" s="8" t="str">
        <f t="shared" si="12"/>
        <v>6800µF 35v - R18.0-41.0 Hitano (ECR)</v>
      </c>
      <c r="T69" s="8">
        <f t="shared" si="18"/>
        <v>1</v>
      </c>
      <c r="U69" s="8" t="b">
        <f>NOT(ISNA(MATCH($P69,Packages!$A:$A,0)))</f>
        <v>1</v>
      </c>
    </row>
    <row r="70" spans="1:21" hidden="1">
      <c r="A70" s="6" t="s">
        <v>49</v>
      </c>
      <c r="B70" s="6" t="s">
        <v>50</v>
      </c>
      <c r="C70" s="33">
        <v>10000</v>
      </c>
      <c r="D70" s="34">
        <v>35</v>
      </c>
      <c r="E70" s="6" t="s">
        <v>82</v>
      </c>
      <c r="F70" s="6" t="s">
        <v>59</v>
      </c>
      <c r="G70" s="6"/>
      <c r="H70" s="7" t="s">
        <v>141</v>
      </c>
      <c r="I70" s="7" t="str">
        <f t="shared" si="19"/>
        <v>HITANO</v>
      </c>
      <c r="J70" s="7" t="str">
        <f t="shared" si="20"/>
        <v>10000µF 35v</v>
      </c>
      <c r="K70" s="7"/>
      <c r="L70" s="7" t="str">
        <f t="shared" si="21"/>
        <v>ECR</v>
      </c>
      <c r="M70" s="31">
        <f t="shared" si="13"/>
        <v>22</v>
      </c>
      <c r="N70" s="31">
        <f t="shared" si="14"/>
        <v>41</v>
      </c>
      <c r="O70" s="8" t="str">
        <f t="shared" si="15"/>
        <v>Hitano-ECR</v>
      </c>
      <c r="P70" s="12" t="str">
        <f t="shared" si="11"/>
        <v>Hitano R-22.0x41.0</v>
      </c>
      <c r="Q70" s="12" t="str">
        <f t="shared" si="16"/>
        <v>10000µF</v>
      </c>
      <c r="R70" s="12" t="str">
        <f t="shared" si="17"/>
        <v>35v</v>
      </c>
      <c r="S70" s="8" t="str">
        <f t="shared" si="12"/>
        <v>10000µF 35v - R22.0-41.0 Hitano (ECR)</v>
      </c>
      <c r="T70" s="8">
        <f t="shared" si="18"/>
        <v>1</v>
      </c>
      <c r="U70" s="8" t="b">
        <f>NOT(ISNA(MATCH($P70,Packages!$A:$A,0)))</f>
        <v>1</v>
      </c>
    </row>
    <row r="71" spans="1:21" hidden="1">
      <c r="A71" s="6" t="s">
        <v>49</v>
      </c>
      <c r="B71" s="6" t="s">
        <v>50</v>
      </c>
      <c r="C71" s="33">
        <v>0.47</v>
      </c>
      <c r="D71" s="34">
        <v>50</v>
      </c>
      <c r="E71" s="6" t="s">
        <v>68</v>
      </c>
      <c r="F71" s="6" t="s">
        <v>59</v>
      </c>
      <c r="G71" s="6"/>
      <c r="H71" s="7" t="s">
        <v>141</v>
      </c>
      <c r="I71" s="7" t="str">
        <f t="shared" si="19"/>
        <v>HITANO</v>
      </c>
      <c r="J71" s="7" t="str">
        <f t="shared" si="20"/>
        <v>0.47µF 50v</v>
      </c>
      <c r="K71" s="7"/>
      <c r="L71" s="7" t="str">
        <f t="shared" si="21"/>
        <v>ECR</v>
      </c>
      <c r="M71" s="31">
        <f t="shared" si="13"/>
        <v>5</v>
      </c>
      <c r="N71" s="31">
        <f t="shared" si="14"/>
        <v>11</v>
      </c>
      <c r="O71" s="8" t="str">
        <f t="shared" si="15"/>
        <v>Hitano-ECR</v>
      </c>
      <c r="P71" s="12" t="str">
        <f t="shared" si="11"/>
        <v>Hitano R-05.0x11.0</v>
      </c>
      <c r="Q71" s="12" t="str">
        <f t="shared" si="16"/>
        <v>0.47µF</v>
      </c>
      <c r="R71" s="12" t="str">
        <f t="shared" si="17"/>
        <v>50v</v>
      </c>
      <c r="S71" s="8" t="str">
        <f t="shared" si="12"/>
        <v>0.47µF 50v - R05.0-11.0 Hitano (ECR)</v>
      </c>
      <c r="T71" s="8">
        <f t="shared" si="18"/>
        <v>1</v>
      </c>
      <c r="U71" s="8" t="b">
        <f>NOT(ISNA(MATCH($P71,Packages!$A:$A,0)))</f>
        <v>1</v>
      </c>
    </row>
    <row r="72" spans="1:21" hidden="1">
      <c r="A72" s="6" t="s">
        <v>49</v>
      </c>
      <c r="B72" s="6" t="s">
        <v>50</v>
      </c>
      <c r="C72" s="33">
        <v>1</v>
      </c>
      <c r="D72" s="34">
        <v>50</v>
      </c>
      <c r="E72" s="6" t="s">
        <v>68</v>
      </c>
      <c r="F72" s="6" t="s">
        <v>59</v>
      </c>
      <c r="G72" s="6"/>
      <c r="H72" s="7" t="s">
        <v>141</v>
      </c>
      <c r="I72" s="7" t="str">
        <f t="shared" si="19"/>
        <v>HITANO</v>
      </c>
      <c r="J72" s="7" t="str">
        <f t="shared" si="20"/>
        <v>1µF 50v</v>
      </c>
      <c r="K72" s="7"/>
      <c r="L72" s="7" t="str">
        <f t="shared" si="21"/>
        <v>ECR</v>
      </c>
      <c r="M72" s="31">
        <f t="shared" si="13"/>
        <v>5</v>
      </c>
      <c r="N72" s="31">
        <f t="shared" si="14"/>
        <v>11</v>
      </c>
      <c r="O72" s="8" t="str">
        <f t="shared" si="15"/>
        <v>Hitano-ECR</v>
      </c>
      <c r="P72" s="12" t="str">
        <f t="shared" si="11"/>
        <v>Hitano R-05.0x11.0</v>
      </c>
      <c r="Q72" s="12" t="str">
        <f t="shared" si="16"/>
        <v>1µF</v>
      </c>
      <c r="R72" s="12" t="str">
        <f t="shared" si="17"/>
        <v>50v</v>
      </c>
      <c r="S72" s="8" t="str">
        <f t="shared" si="12"/>
        <v>1µF 50v - R05.0-11.0 Hitano (ECR)</v>
      </c>
      <c r="T72" s="8">
        <f t="shared" si="18"/>
        <v>1</v>
      </c>
      <c r="U72" s="8" t="b">
        <f>NOT(ISNA(MATCH($P72,Packages!$A:$A,0)))</f>
        <v>1</v>
      </c>
    </row>
    <row r="73" spans="1:21" hidden="1">
      <c r="A73" s="6" t="s">
        <v>49</v>
      </c>
      <c r="B73" s="6" t="s">
        <v>50</v>
      </c>
      <c r="C73" s="33">
        <v>2.2000000000000002</v>
      </c>
      <c r="D73" s="34">
        <v>50</v>
      </c>
      <c r="E73" s="6" t="s">
        <v>68</v>
      </c>
      <c r="F73" s="6" t="s">
        <v>59</v>
      </c>
      <c r="G73" s="6"/>
      <c r="H73" s="7" t="s">
        <v>141</v>
      </c>
      <c r="I73" s="7" t="str">
        <f t="shared" si="19"/>
        <v>HITANO</v>
      </c>
      <c r="J73" s="7" t="str">
        <f t="shared" si="20"/>
        <v>2.2µF 50v</v>
      </c>
      <c r="K73" s="7"/>
      <c r="L73" s="7" t="str">
        <f t="shared" si="21"/>
        <v>ECR</v>
      </c>
      <c r="M73" s="31">
        <f t="shared" si="13"/>
        <v>5</v>
      </c>
      <c r="N73" s="31">
        <f t="shared" si="14"/>
        <v>11</v>
      </c>
      <c r="O73" s="8" t="str">
        <f t="shared" si="15"/>
        <v>Hitano-ECR</v>
      </c>
      <c r="P73" s="12" t="str">
        <f t="shared" si="11"/>
        <v>Hitano R-05.0x11.0</v>
      </c>
      <c r="Q73" s="12" t="str">
        <f t="shared" si="16"/>
        <v>2.2µF</v>
      </c>
      <c r="R73" s="12" t="str">
        <f t="shared" si="17"/>
        <v>50v</v>
      </c>
      <c r="S73" s="8" t="str">
        <f t="shared" si="12"/>
        <v>2.2µF 50v - R05.0-11.0 Hitano (ECR)</v>
      </c>
      <c r="T73" s="8">
        <f t="shared" si="18"/>
        <v>1</v>
      </c>
      <c r="U73" s="8" t="b">
        <f>NOT(ISNA(MATCH($P73,Packages!$A:$A,0)))</f>
        <v>1</v>
      </c>
    </row>
    <row r="74" spans="1:21" hidden="1">
      <c r="A74" s="6" t="s">
        <v>49</v>
      </c>
      <c r="B74" s="6" t="s">
        <v>50</v>
      </c>
      <c r="C74" s="33">
        <v>3.3</v>
      </c>
      <c r="D74" s="34">
        <v>50</v>
      </c>
      <c r="E74" s="6" t="s">
        <v>68</v>
      </c>
      <c r="F74" s="6" t="s">
        <v>59</v>
      </c>
      <c r="G74" s="6"/>
      <c r="H74" s="7" t="s">
        <v>141</v>
      </c>
      <c r="I74" s="7" t="str">
        <f t="shared" si="19"/>
        <v>HITANO</v>
      </c>
      <c r="J74" s="7" t="str">
        <f t="shared" si="20"/>
        <v>3.3µF 50v</v>
      </c>
      <c r="K74" s="7"/>
      <c r="L74" s="7" t="str">
        <f t="shared" si="21"/>
        <v>ECR</v>
      </c>
      <c r="M74" s="31">
        <f t="shared" si="13"/>
        <v>5</v>
      </c>
      <c r="N74" s="31">
        <f t="shared" si="14"/>
        <v>11</v>
      </c>
      <c r="O74" s="8" t="str">
        <f t="shared" si="15"/>
        <v>Hitano-ECR</v>
      </c>
      <c r="P74" s="12" t="str">
        <f t="shared" si="11"/>
        <v>Hitano R-05.0x11.0</v>
      </c>
      <c r="Q74" s="12" t="str">
        <f t="shared" si="16"/>
        <v>3.3µF</v>
      </c>
      <c r="R74" s="12" t="str">
        <f t="shared" si="17"/>
        <v>50v</v>
      </c>
      <c r="S74" s="8" t="str">
        <f t="shared" si="12"/>
        <v>3.3µF 50v - R05.0-11.0 Hitano (ECR)</v>
      </c>
      <c r="T74" s="8">
        <f t="shared" si="18"/>
        <v>1</v>
      </c>
      <c r="U74" s="8" t="b">
        <f>NOT(ISNA(MATCH($P74,Packages!$A:$A,0)))</f>
        <v>1</v>
      </c>
    </row>
    <row r="75" spans="1:21" hidden="1">
      <c r="A75" s="6" t="s">
        <v>49</v>
      </c>
      <c r="B75" s="6" t="s">
        <v>50</v>
      </c>
      <c r="C75" s="33">
        <v>4.7</v>
      </c>
      <c r="D75" s="34">
        <v>50</v>
      </c>
      <c r="E75" s="6" t="s">
        <v>68</v>
      </c>
      <c r="F75" s="6" t="s">
        <v>59</v>
      </c>
      <c r="G75" s="6"/>
      <c r="H75" s="7" t="s">
        <v>141</v>
      </c>
      <c r="I75" s="7" t="str">
        <f t="shared" si="19"/>
        <v>HITANO</v>
      </c>
      <c r="J75" s="7" t="str">
        <f t="shared" si="20"/>
        <v>4.7µF 50v</v>
      </c>
      <c r="K75" s="7"/>
      <c r="L75" s="7" t="str">
        <f t="shared" si="21"/>
        <v>ECR</v>
      </c>
      <c r="M75" s="31">
        <f t="shared" si="13"/>
        <v>5</v>
      </c>
      <c r="N75" s="31">
        <f t="shared" si="14"/>
        <v>11</v>
      </c>
      <c r="O75" s="8" t="str">
        <f t="shared" si="15"/>
        <v>Hitano-ECR</v>
      </c>
      <c r="P75" s="12" t="str">
        <f t="shared" si="11"/>
        <v>Hitano R-05.0x11.0</v>
      </c>
      <c r="Q75" s="12" t="str">
        <f t="shared" si="16"/>
        <v>4.7µF</v>
      </c>
      <c r="R75" s="12" t="str">
        <f t="shared" si="17"/>
        <v>50v</v>
      </c>
      <c r="S75" s="8" t="str">
        <f t="shared" si="12"/>
        <v>4.7µF 50v - R05.0-11.0 Hitano (ECR)</v>
      </c>
      <c r="T75" s="8">
        <f t="shared" si="18"/>
        <v>1</v>
      </c>
      <c r="U75" s="8" t="b">
        <f>NOT(ISNA(MATCH($P75,Packages!$A:$A,0)))</f>
        <v>1</v>
      </c>
    </row>
    <row r="76" spans="1:21" hidden="1">
      <c r="A76" s="6" t="s">
        <v>49</v>
      </c>
      <c r="B76" s="6" t="s">
        <v>50</v>
      </c>
      <c r="C76" s="33">
        <v>10</v>
      </c>
      <c r="D76" s="34">
        <v>50</v>
      </c>
      <c r="E76" s="6" t="s">
        <v>68</v>
      </c>
      <c r="F76" s="6" t="s">
        <v>59</v>
      </c>
      <c r="G76" s="6"/>
      <c r="H76" s="7" t="s">
        <v>141</v>
      </c>
      <c r="I76" s="7" t="str">
        <f t="shared" si="19"/>
        <v>HITANO</v>
      </c>
      <c r="J76" s="7" t="str">
        <f t="shared" si="20"/>
        <v>10µF 50v</v>
      </c>
      <c r="K76" s="7"/>
      <c r="L76" s="7" t="str">
        <f t="shared" si="21"/>
        <v>ECR</v>
      </c>
      <c r="M76" s="31">
        <f t="shared" si="13"/>
        <v>5</v>
      </c>
      <c r="N76" s="31">
        <f t="shared" si="14"/>
        <v>11</v>
      </c>
      <c r="O76" s="8" t="str">
        <f t="shared" si="15"/>
        <v>Hitano-ECR</v>
      </c>
      <c r="P76" s="12" t="str">
        <f t="shared" si="11"/>
        <v>Hitano R-05.0x11.0</v>
      </c>
      <c r="Q76" s="12" t="str">
        <f t="shared" si="16"/>
        <v>10µF</v>
      </c>
      <c r="R76" s="12" t="str">
        <f t="shared" si="17"/>
        <v>50v</v>
      </c>
      <c r="S76" s="8" t="str">
        <f t="shared" si="12"/>
        <v>10µF 50v - R05.0-11.0 Hitano (ECR)</v>
      </c>
      <c r="T76" s="8">
        <f t="shared" si="18"/>
        <v>1</v>
      </c>
      <c r="U76" s="8" t="b">
        <f>NOT(ISNA(MATCH($P76,Packages!$A:$A,0)))</f>
        <v>1</v>
      </c>
    </row>
    <row r="77" spans="1:21" hidden="1">
      <c r="A77" s="6" t="s">
        <v>49</v>
      </c>
      <c r="B77" s="6" t="s">
        <v>50</v>
      </c>
      <c r="C77" s="33">
        <v>22</v>
      </c>
      <c r="D77" s="34">
        <v>50</v>
      </c>
      <c r="E77" s="6" t="s">
        <v>68</v>
      </c>
      <c r="F77" s="6" t="s">
        <v>59</v>
      </c>
      <c r="G77" s="6"/>
      <c r="H77" s="7" t="s">
        <v>141</v>
      </c>
      <c r="I77" s="7" t="str">
        <f t="shared" si="19"/>
        <v>HITANO</v>
      </c>
      <c r="J77" s="7" t="str">
        <f t="shared" si="20"/>
        <v>22µF 50v</v>
      </c>
      <c r="K77" s="7"/>
      <c r="L77" s="7" t="str">
        <f t="shared" si="21"/>
        <v>ECR</v>
      </c>
      <c r="M77" s="31">
        <f t="shared" si="13"/>
        <v>5</v>
      </c>
      <c r="N77" s="31">
        <f t="shared" si="14"/>
        <v>11</v>
      </c>
      <c r="O77" s="8" t="str">
        <f t="shared" si="15"/>
        <v>Hitano-ECR</v>
      </c>
      <c r="P77" s="12" t="str">
        <f t="shared" si="11"/>
        <v>Hitano R-05.0x11.0</v>
      </c>
      <c r="Q77" s="12" t="str">
        <f t="shared" si="16"/>
        <v>22µF</v>
      </c>
      <c r="R77" s="12" t="str">
        <f t="shared" si="17"/>
        <v>50v</v>
      </c>
      <c r="S77" s="8" t="str">
        <f t="shared" si="12"/>
        <v>22µF 50v - R05.0-11.0 Hitano (ECR)</v>
      </c>
      <c r="T77" s="8">
        <f t="shared" si="18"/>
        <v>1</v>
      </c>
      <c r="U77" s="8" t="b">
        <f>NOT(ISNA(MATCH($P77,Packages!$A:$A,0)))</f>
        <v>1</v>
      </c>
    </row>
    <row r="78" spans="1:21" hidden="1">
      <c r="A78" s="6" t="s">
        <v>49</v>
      </c>
      <c r="B78" s="6" t="s">
        <v>50</v>
      </c>
      <c r="C78" s="33">
        <v>33</v>
      </c>
      <c r="D78" s="34">
        <v>50</v>
      </c>
      <c r="E78" s="6" t="s">
        <v>68</v>
      </c>
      <c r="F78" s="6" t="s">
        <v>59</v>
      </c>
      <c r="G78" s="6"/>
      <c r="H78" s="7" t="s">
        <v>141</v>
      </c>
      <c r="I78" s="7" t="str">
        <f t="shared" si="19"/>
        <v>HITANO</v>
      </c>
      <c r="J78" s="7" t="str">
        <f t="shared" si="20"/>
        <v>33µF 50v</v>
      </c>
      <c r="K78" s="7"/>
      <c r="L78" s="7" t="str">
        <f t="shared" si="21"/>
        <v>ECR</v>
      </c>
      <c r="M78" s="31">
        <f t="shared" si="13"/>
        <v>5</v>
      </c>
      <c r="N78" s="31">
        <f t="shared" si="14"/>
        <v>11</v>
      </c>
      <c r="O78" s="8" t="str">
        <f t="shared" si="15"/>
        <v>Hitano-ECR</v>
      </c>
      <c r="P78" s="12" t="str">
        <f t="shared" si="11"/>
        <v>Hitano R-05.0x11.0</v>
      </c>
      <c r="Q78" s="12" t="str">
        <f t="shared" si="16"/>
        <v>33µF</v>
      </c>
      <c r="R78" s="12" t="str">
        <f t="shared" si="17"/>
        <v>50v</v>
      </c>
      <c r="S78" s="8" t="str">
        <f t="shared" si="12"/>
        <v>33µF 50v - R05.0-11.0 Hitano (ECR)</v>
      </c>
      <c r="T78" s="8">
        <f t="shared" si="18"/>
        <v>1</v>
      </c>
      <c r="U78" s="8" t="b">
        <f>NOT(ISNA(MATCH($P78,Packages!$A:$A,0)))</f>
        <v>1</v>
      </c>
    </row>
    <row r="79" spans="1:21" hidden="1">
      <c r="A79" s="6" t="s">
        <v>49</v>
      </c>
      <c r="B79" s="6" t="s">
        <v>50</v>
      </c>
      <c r="C79" s="33">
        <v>33</v>
      </c>
      <c r="D79" s="34">
        <v>50</v>
      </c>
      <c r="E79" s="6" t="s">
        <v>70</v>
      </c>
      <c r="F79" s="6" t="s">
        <v>59</v>
      </c>
      <c r="G79" s="6"/>
      <c r="H79" s="7" t="s">
        <v>141</v>
      </c>
      <c r="I79" s="7" t="str">
        <f t="shared" si="19"/>
        <v>HITANO</v>
      </c>
      <c r="J79" s="7" t="str">
        <f t="shared" si="20"/>
        <v>33µF 50v</v>
      </c>
      <c r="K79" s="7"/>
      <c r="L79" s="7" t="str">
        <f t="shared" si="21"/>
        <v>ECR</v>
      </c>
      <c r="M79" s="31">
        <f t="shared" si="13"/>
        <v>6.3</v>
      </c>
      <c r="N79" s="31">
        <f t="shared" si="14"/>
        <v>11</v>
      </c>
      <c r="O79" s="8" t="str">
        <f t="shared" si="15"/>
        <v>Hitano-ECR</v>
      </c>
      <c r="P79" s="12" t="str">
        <f t="shared" si="11"/>
        <v>Hitano R-06.0x11.0</v>
      </c>
      <c r="Q79" s="12" t="str">
        <f t="shared" si="16"/>
        <v>33µF</v>
      </c>
      <c r="R79" s="12" t="str">
        <f t="shared" si="17"/>
        <v>50v</v>
      </c>
      <c r="S79" s="8" t="str">
        <f t="shared" si="12"/>
        <v>33µF 50v - R06.3-11.0 Hitano (ECR)</v>
      </c>
      <c r="T79" s="8">
        <f t="shared" si="18"/>
        <v>1</v>
      </c>
      <c r="U79" s="8" t="b">
        <f>NOT(ISNA(MATCH($P79,Packages!$A:$A,0)))</f>
        <v>1</v>
      </c>
    </row>
    <row r="80" spans="1:21" hidden="1">
      <c r="A80" s="6" t="s">
        <v>49</v>
      </c>
      <c r="B80" s="6" t="s">
        <v>50</v>
      </c>
      <c r="C80" s="33">
        <v>47</v>
      </c>
      <c r="D80" s="34">
        <v>50</v>
      </c>
      <c r="E80" s="6" t="s">
        <v>69</v>
      </c>
      <c r="F80" s="6" t="s">
        <v>59</v>
      </c>
      <c r="G80" s="6"/>
      <c r="H80" s="7" t="s">
        <v>141</v>
      </c>
      <c r="I80" s="7" t="str">
        <f t="shared" si="19"/>
        <v>HITANO</v>
      </c>
      <c r="J80" s="7" t="str">
        <f t="shared" si="20"/>
        <v>47µF 50v</v>
      </c>
      <c r="K80" s="7"/>
      <c r="L80" s="7" t="str">
        <f t="shared" si="21"/>
        <v>ECR</v>
      </c>
      <c r="M80" s="31">
        <f t="shared" si="13"/>
        <v>6.3</v>
      </c>
      <c r="N80" s="31">
        <f t="shared" si="14"/>
        <v>11</v>
      </c>
      <c r="O80" s="8" t="str">
        <f t="shared" si="15"/>
        <v>Hitano-ECR</v>
      </c>
      <c r="P80" s="12" t="str">
        <f t="shared" si="11"/>
        <v>Hitano R-06.0x11.0</v>
      </c>
      <c r="Q80" s="12" t="str">
        <f t="shared" si="16"/>
        <v>47µF</v>
      </c>
      <c r="R80" s="12" t="str">
        <f t="shared" si="17"/>
        <v>50v</v>
      </c>
      <c r="S80" s="8" t="str">
        <f t="shared" si="12"/>
        <v>47µF 50v - R06.3-11.0 Hitano (ECR)</v>
      </c>
      <c r="T80" s="8">
        <f t="shared" si="18"/>
        <v>1</v>
      </c>
      <c r="U80" s="8" t="b">
        <f>NOT(ISNA(MATCH($P80,Packages!$A:$A,0)))</f>
        <v>1</v>
      </c>
    </row>
    <row r="81" spans="1:21" hidden="1">
      <c r="A81" s="6" t="s">
        <v>49</v>
      </c>
      <c r="B81" s="6" t="s">
        <v>50</v>
      </c>
      <c r="C81" s="33">
        <v>100</v>
      </c>
      <c r="D81" s="34">
        <v>50</v>
      </c>
      <c r="E81" s="6" t="s">
        <v>71</v>
      </c>
      <c r="F81" s="6" t="s">
        <v>59</v>
      </c>
      <c r="G81" s="6"/>
      <c r="H81" s="7" t="s">
        <v>141</v>
      </c>
      <c r="I81" s="7" t="str">
        <f t="shared" si="19"/>
        <v>HITANO</v>
      </c>
      <c r="J81" s="7" t="str">
        <f t="shared" si="20"/>
        <v>100µF 50v</v>
      </c>
      <c r="K81" s="7"/>
      <c r="L81" s="7" t="str">
        <f t="shared" si="21"/>
        <v>ECR</v>
      </c>
      <c r="M81" s="31">
        <f t="shared" si="13"/>
        <v>8</v>
      </c>
      <c r="N81" s="31">
        <f t="shared" si="14"/>
        <v>12</v>
      </c>
      <c r="O81" s="8" t="str">
        <f t="shared" si="15"/>
        <v>Hitano-ECR</v>
      </c>
      <c r="P81" s="12" t="str">
        <f t="shared" si="11"/>
        <v>Hitano R-08.0x12.0</v>
      </c>
      <c r="Q81" s="12" t="str">
        <f t="shared" si="16"/>
        <v>100µF</v>
      </c>
      <c r="R81" s="12" t="str">
        <f t="shared" si="17"/>
        <v>50v</v>
      </c>
      <c r="S81" s="8" t="str">
        <f t="shared" si="12"/>
        <v>100µF 50v - R08.0-12.0 Hitano (ECR)</v>
      </c>
      <c r="T81" s="8">
        <f t="shared" si="18"/>
        <v>1</v>
      </c>
      <c r="U81" s="8" t="b">
        <f>NOT(ISNA(MATCH($P81,Packages!$A:$A,0)))</f>
        <v>1</v>
      </c>
    </row>
    <row r="82" spans="1:21" hidden="1">
      <c r="A82" s="6" t="s">
        <v>49</v>
      </c>
      <c r="B82" s="6" t="s">
        <v>50</v>
      </c>
      <c r="C82" s="33">
        <v>220</v>
      </c>
      <c r="D82" s="34">
        <v>50</v>
      </c>
      <c r="E82" s="6" t="s">
        <v>72</v>
      </c>
      <c r="F82" s="6" t="s">
        <v>59</v>
      </c>
      <c r="G82" s="6"/>
      <c r="H82" s="7" t="s">
        <v>141</v>
      </c>
      <c r="I82" s="7" t="str">
        <f t="shared" si="19"/>
        <v>HITANO</v>
      </c>
      <c r="J82" s="7" t="str">
        <f t="shared" si="20"/>
        <v>220µF 50v</v>
      </c>
      <c r="K82" s="7"/>
      <c r="L82" s="7" t="str">
        <f t="shared" si="21"/>
        <v>ECR</v>
      </c>
      <c r="M82" s="31">
        <f t="shared" si="13"/>
        <v>10</v>
      </c>
      <c r="N82" s="31">
        <f t="shared" si="14"/>
        <v>13</v>
      </c>
      <c r="O82" s="8" t="str">
        <f t="shared" si="15"/>
        <v>Hitano-ECR</v>
      </c>
      <c r="P82" s="12" t="str">
        <f t="shared" si="11"/>
        <v>Hitano R-10.0x13.0</v>
      </c>
      <c r="Q82" s="12" t="str">
        <f t="shared" si="16"/>
        <v>220µF</v>
      </c>
      <c r="R82" s="12" t="str">
        <f t="shared" si="17"/>
        <v>50v</v>
      </c>
      <c r="S82" s="8" t="str">
        <f t="shared" si="12"/>
        <v>220µF 50v - R10.0-13.0 Hitano (ECR)</v>
      </c>
      <c r="T82" s="8">
        <f t="shared" si="18"/>
        <v>1</v>
      </c>
      <c r="U82" s="8" t="b">
        <f>NOT(ISNA(MATCH($P82,Packages!$A:$A,0)))</f>
        <v>1</v>
      </c>
    </row>
    <row r="83" spans="1:21" hidden="1">
      <c r="A83" s="6" t="s">
        <v>49</v>
      </c>
      <c r="B83" s="6" t="s">
        <v>50</v>
      </c>
      <c r="C83" s="33">
        <v>220</v>
      </c>
      <c r="D83" s="34">
        <v>50</v>
      </c>
      <c r="E83" s="6" t="s">
        <v>74</v>
      </c>
      <c r="F83" s="6" t="s">
        <v>59</v>
      </c>
      <c r="G83" s="6"/>
      <c r="H83" s="7" t="s">
        <v>141</v>
      </c>
      <c r="I83" s="7" t="str">
        <f t="shared" si="19"/>
        <v>HITANO</v>
      </c>
      <c r="J83" s="7" t="str">
        <f t="shared" si="20"/>
        <v>220µF 50v</v>
      </c>
      <c r="K83" s="7"/>
      <c r="L83" s="7" t="str">
        <f t="shared" si="21"/>
        <v>ECR</v>
      </c>
      <c r="M83" s="31">
        <f t="shared" si="13"/>
        <v>10</v>
      </c>
      <c r="N83" s="31">
        <f t="shared" si="14"/>
        <v>16</v>
      </c>
      <c r="O83" s="8" t="str">
        <f t="shared" si="15"/>
        <v>Hitano-ECR</v>
      </c>
      <c r="P83" s="12" t="str">
        <f t="shared" si="11"/>
        <v>Hitano R-10.0x16.0</v>
      </c>
      <c r="Q83" s="12" t="str">
        <f t="shared" si="16"/>
        <v>220µF</v>
      </c>
      <c r="R83" s="12" t="str">
        <f t="shared" si="17"/>
        <v>50v</v>
      </c>
      <c r="S83" s="8" t="str">
        <f t="shared" si="12"/>
        <v>220µF 50v - R10.0-16.0 Hitano (ECR)</v>
      </c>
      <c r="T83" s="8">
        <f t="shared" si="18"/>
        <v>1</v>
      </c>
      <c r="U83" s="8" t="b">
        <f>NOT(ISNA(MATCH($P83,Packages!$A:$A,0)))</f>
        <v>1</v>
      </c>
    </row>
    <row r="84" spans="1:21" hidden="1">
      <c r="A84" s="6" t="s">
        <v>49</v>
      </c>
      <c r="B84" s="6" t="s">
        <v>50</v>
      </c>
      <c r="C84" s="33">
        <v>330</v>
      </c>
      <c r="D84" s="34">
        <v>50</v>
      </c>
      <c r="E84" s="6" t="s">
        <v>74</v>
      </c>
      <c r="F84" s="6" t="s">
        <v>59</v>
      </c>
      <c r="G84" s="6"/>
      <c r="H84" s="7" t="s">
        <v>141</v>
      </c>
      <c r="I84" s="7" t="str">
        <f t="shared" si="19"/>
        <v>HITANO</v>
      </c>
      <c r="J84" s="7" t="str">
        <f t="shared" si="20"/>
        <v>330µF 50v</v>
      </c>
      <c r="K84" s="7"/>
      <c r="L84" s="7" t="str">
        <f t="shared" si="21"/>
        <v>ECR</v>
      </c>
      <c r="M84" s="31">
        <f t="shared" si="13"/>
        <v>10</v>
      </c>
      <c r="N84" s="31">
        <f t="shared" si="14"/>
        <v>16</v>
      </c>
      <c r="O84" s="8" t="str">
        <f t="shared" si="15"/>
        <v>Hitano-ECR</v>
      </c>
      <c r="P84" s="12" t="str">
        <f t="shared" si="11"/>
        <v>Hitano R-10.0x16.0</v>
      </c>
      <c r="Q84" s="12" t="str">
        <f t="shared" si="16"/>
        <v>330µF</v>
      </c>
      <c r="R84" s="12" t="str">
        <f t="shared" si="17"/>
        <v>50v</v>
      </c>
      <c r="S84" s="8" t="str">
        <f t="shared" si="12"/>
        <v>330µF 50v - R10.0-16.0 Hitano (ECR)</v>
      </c>
      <c r="T84" s="8">
        <f t="shared" si="18"/>
        <v>1</v>
      </c>
      <c r="U84" s="8" t="b">
        <f>NOT(ISNA(MATCH($P84,Packages!$A:$A,0)))</f>
        <v>1</v>
      </c>
    </row>
    <row r="85" spans="1:21" hidden="1">
      <c r="A85" s="6" t="s">
        <v>49</v>
      </c>
      <c r="B85" s="6" t="s">
        <v>50</v>
      </c>
      <c r="C85" s="33">
        <v>470</v>
      </c>
      <c r="D85" s="34">
        <v>50</v>
      </c>
      <c r="E85" s="6" t="s">
        <v>75</v>
      </c>
      <c r="F85" s="6" t="s">
        <v>59</v>
      </c>
      <c r="G85" s="6"/>
      <c r="H85" s="7" t="s">
        <v>141</v>
      </c>
      <c r="I85" s="7" t="str">
        <f t="shared" si="19"/>
        <v>HITANO</v>
      </c>
      <c r="J85" s="7" t="str">
        <f t="shared" si="20"/>
        <v>470µF 50v</v>
      </c>
      <c r="K85" s="7"/>
      <c r="L85" s="7" t="str">
        <f t="shared" si="21"/>
        <v>ECR</v>
      </c>
      <c r="M85" s="31">
        <f t="shared" si="13"/>
        <v>10</v>
      </c>
      <c r="N85" s="31">
        <f t="shared" si="14"/>
        <v>21</v>
      </c>
      <c r="O85" s="8" t="str">
        <f t="shared" si="15"/>
        <v>Hitano-ECR</v>
      </c>
      <c r="P85" s="12" t="str">
        <f t="shared" si="11"/>
        <v>Hitano R-10.0x21.0</v>
      </c>
      <c r="Q85" s="12" t="str">
        <f t="shared" si="16"/>
        <v>470µF</v>
      </c>
      <c r="R85" s="12" t="str">
        <f t="shared" si="17"/>
        <v>50v</v>
      </c>
      <c r="S85" s="8" t="str">
        <f t="shared" si="12"/>
        <v>470µF 50v - R10.0-21.0 Hitano (ECR)</v>
      </c>
      <c r="T85" s="8">
        <f t="shared" si="18"/>
        <v>1</v>
      </c>
      <c r="U85" s="8" t="b">
        <f>NOT(ISNA(MATCH($P85,Packages!$A:$A,0)))</f>
        <v>1</v>
      </c>
    </row>
    <row r="86" spans="1:21" hidden="1">
      <c r="A86" s="6" t="s">
        <v>49</v>
      </c>
      <c r="B86" s="6" t="s">
        <v>50</v>
      </c>
      <c r="C86" s="33">
        <v>470</v>
      </c>
      <c r="D86" s="34">
        <v>50</v>
      </c>
      <c r="E86" s="6" t="s">
        <v>76</v>
      </c>
      <c r="F86" s="6" t="s">
        <v>59</v>
      </c>
      <c r="G86" s="6"/>
      <c r="H86" s="7" t="s">
        <v>141</v>
      </c>
      <c r="I86" s="7" t="str">
        <f t="shared" si="19"/>
        <v>HITANO</v>
      </c>
      <c r="J86" s="7" t="str">
        <f t="shared" si="20"/>
        <v>470µF 50v</v>
      </c>
      <c r="K86" s="7"/>
      <c r="L86" s="7" t="str">
        <f t="shared" si="21"/>
        <v>ECR</v>
      </c>
      <c r="M86" s="31">
        <f t="shared" si="13"/>
        <v>13</v>
      </c>
      <c r="N86" s="31">
        <f t="shared" si="14"/>
        <v>21</v>
      </c>
      <c r="O86" s="8" t="str">
        <f t="shared" si="15"/>
        <v>Hitano-ECR</v>
      </c>
      <c r="P86" s="12" t="str">
        <f t="shared" si="11"/>
        <v>Hitano R-13.0x21.0</v>
      </c>
      <c r="Q86" s="12" t="str">
        <f t="shared" si="16"/>
        <v>470µF</v>
      </c>
      <c r="R86" s="12" t="str">
        <f t="shared" si="17"/>
        <v>50v</v>
      </c>
      <c r="S86" s="8" t="str">
        <f t="shared" si="12"/>
        <v>470µF 50v - R13.0-21.0 Hitano (ECR)</v>
      </c>
      <c r="T86" s="8">
        <f t="shared" si="18"/>
        <v>1</v>
      </c>
      <c r="U86" s="8" t="b">
        <f>NOT(ISNA(MATCH($P86,Packages!$A:$A,0)))</f>
        <v>1</v>
      </c>
    </row>
    <row r="87" spans="1:21" hidden="1">
      <c r="A87" s="6" t="s">
        <v>49</v>
      </c>
      <c r="B87" s="6" t="s">
        <v>50</v>
      </c>
      <c r="C87" s="33">
        <v>1000</v>
      </c>
      <c r="D87" s="34">
        <v>50</v>
      </c>
      <c r="E87" s="6" t="s">
        <v>77</v>
      </c>
      <c r="F87" s="6" t="s">
        <v>59</v>
      </c>
      <c r="G87" s="6"/>
      <c r="H87" s="7" t="s">
        <v>141</v>
      </c>
      <c r="I87" s="7" t="str">
        <f t="shared" si="19"/>
        <v>HITANO</v>
      </c>
      <c r="J87" s="7" t="str">
        <f t="shared" si="20"/>
        <v>1000µF 50v</v>
      </c>
      <c r="K87" s="7"/>
      <c r="L87" s="7" t="str">
        <f t="shared" si="21"/>
        <v>ECR</v>
      </c>
      <c r="M87" s="31">
        <f t="shared" si="13"/>
        <v>13</v>
      </c>
      <c r="N87" s="31">
        <f t="shared" si="14"/>
        <v>26</v>
      </c>
      <c r="O87" s="8" t="str">
        <f t="shared" si="15"/>
        <v>Hitano-ECR</v>
      </c>
      <c r="P87" s="12" t="str">
        <f t="shared" si="11"/>
        <v>Hitano R-13.0x26.0</v>
      </c>
      <c r="Q87" s="12" t="str">
        <f t="shared" si="16"/>
        <v>1000µF</v>
      </c>
      <c r="R87" s="12" t="str">
        <f t="shared" si="17"/>
        <v>50v</v>
      </c>
      <c r="S87" s="8" t="str">
        <f t="shared" si="12"/>
        <v>1000µF 50v - R13.0-26.0 Hitano (ECR)</v>
      </c>
      <c r="T87" s="8">
        <f t="shared" si="18"/>
        <v>1</v>
      </c>
      <c r="U87" s="8" t="b">
        <f>NOT(ISNA(MATCH($P87,Packages!$A:$A,0)))</f>
        <v>1</v>
      </c>
    </row>
    <row r="88" spans="1:21" hidden="1">
      <c r="A88" s="6" t="s">
        <v>49</v>
      </c>
      <c r="B88" s="6" t="s">
        <v>50</v>
      </c>
      <c r="C88" s="33">
        <v>1000</v>
      </c>
      <c r="D88" s="34">
        <v>50</v>
      </c>
      <c r="E88" s="6" t="s">
        <v>78</v>
      </c>
      <c r="F88" s="6" t="s">
        <v>59</v>
      </c>
      <c r="G88" s="6"/>
      <c r="H88" s="7" t="s">
        <v>141</v>
      </c>
      <c r="I88" s="7" t="str">
        <f t="shared" si="19"/>
        <v>HITANO</v>
      </c>
      <c r="J88" s="7" t="str">
        <f t="shared" si="20"/>
        <v>1000µF 50v</v>
      </c>
      <c r="K88" s="7"/>
      <c r="L88" s="7" t="str">
        <f t="shared" si="21"/>
        <v>ECR</v>
      </c>
      <c r="M88" s="31">
        <f t="shared" si="13"/>
        <v>16</v>
      </c>
      <c r="N88" s="31">
        <f t="shared" si="14"/>
        <v>26</v>
      </c>
      <c r="O88" s="8" t="str">
        <f t="shared" si="15"/>
        <v>Hitano-ECR</v>
      </c>
      <c r="P88" s="12" t="str">
        <f t="shared" si="11"/>
        <v>Hitano R-16.0x26.0</v>
      </c>
      <c r="Q88" s="12" t="str">
        <f t="shared" si="16"/>
        <v>1000µF</v>
      </c>
      <c r="R88" s="12" t="str">
        <f t="shared" si="17"/>
        <v>50v</v>
      </c>
      <c r="S88" s="8" t="str">
        <f t="shared" si="12"/>
        <v>1000µF 50v - R16.0-26.0 Hitano (ECR)</v>
      </c>
      <c r="T88" s="8">
        <f t="shared" si="18"/>
        <v>1</v>
      </c>
      <c r="U88" s="8" t="b">
        <f>NOT(ISNA(MATCH($P88,Packages!$A:$A,0)))</f>
        <v>1</v>
      </c>
    </row>
    <row r="89" spans="1:21" hidden="1">
      <c r="A89" s="6" t="s">
        <v>49</v>
      </c>
      <c r="B89" s="6" t="s">
        <v>50</v>
      </c>
      <c r="C89" s="33">
        <v>2200</v>
      </c>
      <c r="D89" s="34">
        <v>50</v>
      </c>
      <c r="E89" s="6" t="s">
        <v>79</v>
      </c>
      <c r="F89" s="6" t="s">
        <v>59</v>
      </c>
      <c r="G89" s="6"/>
      <c r="H89" s="7" t="s">
        <v>141</v>
      </c>
      <c r="I89" s="7" t="str">
        <f t="shared" si="19"/>
        <v>HITANO</v>
      </c>
      <c r="J89" s="7" t="str">
        <f t="shared" si="20"/>
        <v>2200µF 50v</v>
      </c>
      <c r="K89" s="7"/>
      <c r="L89" s="7" t="str">
        <f t="shared" si="21"/>
        <v>ECR</v>
      </c>
      <c r="M89" s="31">
        <f t="shared" si="13"/>
        <v>16</v>
      </c>
      <c r="N89" s="31">
        <f t="shared" si="14"/>
        <v>36</v>
      </c>
      <c r="O89" s="8" t="str">
        <f t="shared" si="15"/>
        <v>Hitano-ECR</v>
      </c>
      <c r="P89" s="12" t="str">
        <f t="shared" si="11"/>
        <v>Hitano R-16.0x36.0</v>
      </c>
      <c r="Q89" s="12" t="str">
        <f t="shared" si="16"/>
        <v>2200µF</v>
      </c>
      <c r="R89" s="12" t="str">
        <f t="shared" si="17"/>
        <v>50v</v>
      </c>
      <c r="S89" s="8" t="str">
        <f t="shared" si="12"/>
        <v>2200µF 50v - R16.0-36.0 Hitano (ECR)</v>
      </c>
      <c r="T89" s="8">
        <f t="shared" si="18"/>
        <v>1</v>
      </c>
      <c r="U89" s="8" t="b">
        <f>NOT(ISNA(MATCH($P89,Packages!$A:$A,0)))</f>
        <v>1</v>
      </c>
    </row>
    <row r="90" spans="1:21" hidden="1">
      <c r="A90" s="6" t="s">
        <v>49</v>
      </c>
      <c r="B90" s="6" t="s">
        <v>50</v>
      </c>
      <c r="C90" s="33">
        <v>3300</v>
      </c>
      <c r="D90" s="34">
        <v>50</v>
      </c>
      <c r="E90" s="6" t="s">
        <v>80</v>
      </c>
      <c r="F90" s="6" t="s">
        <v>59</v>
      </c>
      <c r="G90" s="6"/>
      <c r="H90" s="7" t="s">
        <v>141</v>
      </c>
      <c r="I90" s="7" t="str">
        <f t="shared" si="19"/>
        <v>HITANO</v>
      </c>
      <c r="J90" s="7" t="str">
        <f t="shared" si="20"/>
        <v>3300µF 50v</v>
      </c>
      <c r="K90" s="7"/>
      <c r="L90" s="7" t="str">
        <f t="shared" si="21"/>
        <v>ECR</v>
      </c>
      <c r="M90" s="31">
        <f t="shared" si="13"/>
        <v>18</v>
      </c>
      <c r="N90" s="31">
        <f t="shared" si="14"/>
        <v>36</v>
      </c>
      <c r="O90" s="8" t="str">
        <f t="shared" si="15"/>
        <v>Hitano-ECR</v>
      </c>
      <c r="P90" s="12" t="str">
        <f t="shared" si="11"/>
        <v>Hitano R-18.0x36.0</v>
      </c>
      <c r="Q90" s="12" t="str">
        <f t="shared" si="16"/>
        <v>3300µF</v>
      </c>
      <c r="R90" s="12" t="str">
        <f t="shared" si="17"/>
        <v>50v</v>
      </c>
      <c r="S90" s="8" t="str">
        <f t="shared" si="12"/>
        <v>3300µF 50v - R18.0-36.0 Hitano (ECR)</v>
      </c>
      <c r="T90" s="8">
        <f t="shared" si="18"/>
        <v>1</v>
      </c>
      <c r="U90" s="8" t="b">
        <f>NOT(ISNA(MATCH($P90,Packages!$A:$A,0)))</f>
        <v>1</v>
      </c>
    </row>
    <row r="91" spans="1:21" hidden="1">
      <c r="A91" s="6" t="s">
        <v>49</v>
      </c>
      <c r="B91" s="6" t="s">
        <v>50</v>
      </c>
      <c r="C91" s="33">
        <v>4700</v>
      </c>
      <c r="D91" s="34">
        <v>50</v>
      </c>
      <c r="E91" s="6" t="s">
        <v>82</v>
      </c>
      <c r="F91" s="6" t="s">
        <v>59</v>
      </c>
      <c r="G91" s="6"/>
      <c r="H91" s="7" t="s">
        <v>141</v>
      </c>
      <c r="I91" s="7" t="str">
        <f t="shared" si="19"/>
        <v>HITANO</v>
      </c>
      <c r="J91" s="7" t="str">
        <f t="shared" si="20"/>
        <v>4700µF 50v</v>
      </c>
      <c r="K91" s="7"/>
      <c r="L91" s="7" t="str">
        <f t="shared" si="21"/>
        <v>ECR</v>
      </c>
      <c r="M91" s="31">
        <f t="shared" si="13"/>
        <v>22</v>
      </c>
      <c r="N91" s="31">
        <f t="shared" si="14"/>
        <v>41</v>
      </c>
      <c r="O91" s="8" t="str">
        <f t="shared" si="15"/>
        <v>Hitano-ECR</v>
      </c>
      <c r="P91" s="12" t="str">
        <f t="shared" si="11"/>
        <v>Hitano R-22.0x41.0</v>
      </c>
      <c r="Q91" s="12" t="str">
        <f t="shared" si="16"/>
        <v>4700µF</v>
      </c>
      <c r="R91" s="12" t="str">
        <f t="shared" si="17"/>
        <v>50v</v>
      </c>
      <c r="S91" s="8" t="str">
        <f t="shared" si="12"/>
        <v>4700µF 50v - R22.0-41.0 Hitano (ECR)</v>
      </c>
      <c r="T91" s="8">
        <f t="shared" si="18"/>
        <v>1</v>
      </c>
      <c r="U91" s="8" t="b">
        <f>NOT(ISNA(MATCH($P91,Packages!$A:$A,0)))</f>
        <v>1</v>
      </c>
    </row>
    <row r="92" spans="1:21" hidden="1">
      <c r="A92" s="6" t="s">
        <v>49</v>
      </c>
      <c r="B92" s="6" t="s">
        <v>50</v>
      </c>
      <c r="C92" s="33">
        <v>6800</v>
      </c>
      <c r="D92" s="34">
        <v>50</v>
      </c>
      <c r="E92" s="6" t="s">
        <v>83</v>
      </c>
      <c r="F92" s="6" t="s">
        <v>59</v>
      </c>
      <c r="G92" s="6"/>
      <c r="H92" s="7" t="s">
        <v>141</v>
      </c>
      <c r="I92" s="7" t="str">
        <f t="shared" si="19"/>
        <v>HITANO</v>
      </c>
      <c r="J92" s="7" t="str">
        <f t="shared" si="20"/>
        <v>6800µF 50v</v>
      </c>
      <c r="K92" s="7"/>
      <c r="L92" s="7" t="str">
        <f t="shared" si="21"/>
        <v>ECR</v>
      </c>
      <c r="M92" s="31">
        <f t="shared" si="13"/>
        <v>25</v>
      </c>
      <c r="N92" s="31">
        <f t="shared" si="14"/>
        <v>41</v>
      </c>
      <c r="O92" s="8" t="str">
        <f t="shared" si="15"/>
        <v>Hitano-ECR</v>
      </c>
      <c r="P92" s="12" t="str">
        <f t="shared" si="11"/>
        <v>Hitano R-25.0x41.0</v>
      </c>
      <c r="Q92" s="12" t="str">
        <f t="shared" si="16"/>
        <v>6800µF</v>
      </c>
      <c r="R92" s="12" t="str">
        <f t="shared" si="17"/>
        <v>50v</v>
      </c>
      <c r="S92" s="8" t="str">
        <f t="shared" si="12"/>
        <v>6800µF 50v - R25.0-41.0 Hitano (ECR)</v>
      </c>
      <c r="T92" s="8">
        <f t="shared" si="18"/>
        <v>1</v>
      </c>
      <c r="U92" s="8" t="b">
        <f>NOT(ISNA(MATCH($P92,Packages!$A:$A,0)))</f>
        <v>1</v>
      </c>
    </row>
    <row r="93" spans="1:21" hidden="1">
      <c r="A93" s="6" t="s">
        <v>49</v>
      </c>
      <c r="B93" s="6" t="s">
        <v>50</v>
      </c>
      <c r="C93" s="33">
        <v>10000</v>
      </c>
      <c r="D93" s="34">
        <v>50</v>
      </c>
      <c r="E93" s="6" t="s">
        <v>86</v>
      </c>
      <c r="F93" s="6" t="s">
        <v>59</v>
      </c>
      <c r="G93" s="6"/>
      <c r="H93" s="7" t="s">
        <v>141</v>
      </c>
      <c r="I93" s="7" t="str">
        <f t="shared" si="19"/>
        <v>HITANO</v>
      </c>
      <c r="J93" s="7" t="str">
        <f t="shared" si="20"/>
        <v>10000µF 50v</v>
      </c>
      <c r="K93" s="7"/>
      <c r="L93" s="7" t="str">
        <f t="shared" si="21"/>
        <v>ECR</v>
      </c>
      <c r="M93" s="31">
        <f t="shared" si="13"/>
        <v>25</v>
      </c>
      <c r="N93" s="31">
        <f t="shared" si="14"/>
        <v>50</v>
      </c>
      <c r="O93" s="8" t="str">
        <f t="shared" si="15"/>
        <v>Hitano-ECR</v>
      </c>
      <c r="P93" s="12" t="str">
        <f t="shared" si="11"/>
        <v>Hitano R-25.0x50.0</v>
      </c>
      <c r="Q93" s="12" t="str">
        <f t="shared" si="16"/>
        <v>10000µF</v>
      </c>
      <c r="R93" s="12" t="str">
        <f t="shared" si="17"/>
        <v>50v</v>
      </c>
      <c r="S93" s="8" t="str">
        <f t="shared" si="12"/>
        <v>10000µF 50v - R25.0-50.0 Hitano (ECR)</v>
      </c>
      <c r="T93" s="8">
        <f t="shared" si="18"/>
        <v>1</v>
      </c>
      <c r="U93" s="8" t="b">
        <f>NOT(ISNA(MATCH($P93,Packages!$A:$A,0)))</f>
        <v>1</v>
      </c>
    </row>
    <row r="94" spans="1:21" hidden="1">
      <c r="A94" s="6" t="s">
        <v>49</v>
      </c>
      <c r="B94" s="6" t="s">
        <v>50</v>
      </c>
      <c r="C94" s="33">
        <v>0.47</v>
      </c>
      <c r="D94" s="34">
        <v>63</v>
      </c>
      <c r="E94" s="6" t="s">
        <v>68</v>
      </c>
      <c r="F94" s="6" t="s">
        <v>59</v>
      </c>
      <c r="G94" s="6"/>
      <c r="H94" s="7" t="s">
        <v>141</v>
      </c>
      <c r="I94" s="7" t="str">
        <f t="shared" si="19"/>
        <v>HITANO</v>
      </c>
      <c r="J94" s="7" t="str">
        <f t="shared" si="20"/>
        <v>0.47µF 63v</v>
      </c>
      <c r="K94" s="7"/>
      <c r="L94" s="7" t="str">
        <f t="shared" si="21"/>
        <v>ECR</v>
      </c>
      <c r="M94" s="31">
        <f t="shared" si="13"/>
        <v>5</v>
      </c>
      <c r="N94" s="31">
        <f t="shared" si="14"/>
        <v>11</v>
      </c>
      <c r="O94" s="8" t="str">
        <f t="shared" si="15"/>
        <v>Hitano-ECR</v>
      </c>
      <c r="P94" s="12" t="str">
        <f t="shared" si="11"/>
        <v>Hitano R-05.0x11.0</v>
      </c>
      <c r="Q94" s="12" t="str">
        <f t="shared" si="16"/>
        <v>0.47µF</v>
      </c>
      <c r="R94" s="12" t="str">
        <f t="shared" si="17"/>
        <v>63v</v>
      </c>
      <c r="S94" s="8" t="str">
        <f t="shared" si="12"/>
        <v>0.47µF 63v - R05.0-11.0 Hitano (ECR)</v>
      </c>
      <c r="T94" s="8">
        <f t="shared" si="18"/>
        <v>1</v>
      </c>
      <c r="U94" s="8" t="b">
        <f>NOT(ISNA(MATCH($P94,Packages!$A:$A,0)))</f>
        <v>1</v>
      </c>
    </row>
    <row r="95" spans="1:21" hidden="1">
      <c r="A95" s="6" t="s">
        <v>49</v>
      </c>
      <c r="B95" s="6" t="s">
        <v>50</v>
      </c>
      <c r="C95" s="33">
        <v>1</v>
      </c>
      <c r="D95" s="34">
        <v>63</v>
      </c>
      <c r="E95" s="6" t="s">
        <v>68</v>
      </c>
      <c r="F95" s="6" t="s">
        <v>59</v>
      </c>
      <c r="G95" s="6"/>
      <c r="H95" s="7" t="s">
        <v>141</v>
      </c>
      <c r="I95" s="7" t="str">
        <f t="shared" si="19"/>
        <v>HITANO</v>
      </c>
      <c r="J95" s="7" t="str">
        <f t="shared" si="20"/>
        <v>1µF 63v</v>
      </c>
      <c r="K95" s="7"/>
      <c r="L95" s="7" t="str">
        <f t="shared" si="21"/>
        <v>ECR</v>
      </c>
      <c r="M95" s="31">
        <f t="shared" si="13"/>
        <v>5</v>
      </c>
      <c r="N95" s="31">
        <f t="shared" si="14"/>
        <v>11</v>
      </c>
      <c r="O95" s="8" t="str">
        <f t="shared" si="15"/>
        <v>Hitano-ECR</v>
      </c>
      <c r="P95" s="12" t="str">
        <f t="shared" si="11"/>
        <v>Hitano R-05.0x11.0</v>
      </c>
      <c r="Q95" s="12" t="str">
        <f t="shared" si="16"/>
        <v>1µF</v>
      </c>
      <c r="R95" s="12" t="str">
        <f t="shared" si="17"/>
        <v>63v</v>
      </c>
      <c r="S95" s="8" t="str">
        <f t="shared" si="12"/>
        <v>1µF 63v - R05.0-11.0 Hitano (ECR)</v>
      </c>
      <c r="T95" s="8">
        <f t="shared" si="18"/>
        <v>1</v>
      </c>
      <c r="U95" s="8" t="b">
        <f>NOT(ISNA(MATCH($P95,Packages!$A:$A,0)))</f>
        <v>1</v>
      </c>
    </row>
    <row r="96" spans="1:21" hidden="1">
      <c r="A96" s="6" t="s">
        <v>49</v>
      </c>
      <c r="B96" s="6" t="s">
        <v>50</v>
      </c>
      <c r="C96" s="33">
        <v>2.2000000000000002</v>
      </c>
      <c r="D96" s="34">
        <v>63</v>
      </c>
      <c r="E96" s="6" t="s">
        <v>68</v>
      </c>
      <c r="F96" s="6" t="s">
        <v>59</v>
      </c>
      <c r="G96" s="6"/>
      <c r="H96" s="7" t="s">
        <v>141</v>
      </c>
      <c r="I96" s="7" t="str">
        <f t="shared" si="19"/>
        <v>HITANO</v>
      </c>
      <c r="J96" s="7" t="str">
        <f t="shared" si="20"/>
        <v>2.2µF 63v</v>
      </c>
      <c r="K96" s="7"/>
      <c r="L96" s="7" t="str">
        <f t="shared" si="21"/>
        <v>ECR</v>
      </c>
      <c r="M96" s="31">
        <f t="shared" si="13"/>
        <v>5</v>
      </c>
      <c r="N96" s="31">
        <f t="shared" si="14"/>
        <v>11</v>
      </c>
      <c r="O96" s="8" t="str">
        <f t="shared" si="15"/>
        <v>Hitano-ECR</v>
      </c>
      <c r="P96" s="12" t="str">
        <f t="shared" si="11"/>
        <v>Hitano R-05.0x11.0</v>
      </c>
      <c r="Q96" s="12" t="str">
        <f t="shared" si="16"/>
        <v>2.2µF</v>
      </c>
      <c r="R96" s="12" t="str">
        <f t="shared" si="17"/>
        <v>63v</v>
      </c>
      <c r="S96" s="8" t="str">
        <f t="shared" si="12"/>
        <v>2.2µF 63v - R05.0-11.0 Hitano (ECR)</v>
      </c>
      <c r="T96" s="8">
        <f t="shared" si="18"/>
        <v>1</v>
      </c>
      <c r="U96" s="8" t="b">
        <f>NOT(ISNA(MATCH($P96,Packages!$A:$A,0)))</f>
        <v>1</v>
      </c>
    </row>
    <row r="97" spans="1:21" hidden="1">
      <c r="A97" s="6" t="s">
        <v>49</v>
      </c>
      <c r="B97" s="6" t="s">
        <v>50</v>
      </c>
      <c r="C97" s="33">
        <v>3.3</v>
      </c>
      <c r="D97" s="34">
        <v>63</v>
      </c>
      <c r="E97" s="6" t="s">
        <v>68</v>
      </c>
      <c r="F97" s="6" t="s">
        <v>59</v>
      </c>
      <c r="G97" s="6"/>
      <c r="H97" s="7" t="s">
        <v>141</v>
      </c>
      <c r="I97" s="7" t="str">
        <f t="shared" si="19"/>
        <v>HITANO</v>
      </c>
      <c r="J97" s="7" t="str">
        <f t="shared" si="20"/>
        <v>3.3µF 63v</v>
      </c>
      <c r="K97" s="7"/>
      <c r="L97" s="7" t="str">
        <f t="shared" si="21"/>
        <v>ECR</v>
      </c>
      <c r="M97" s="31">
        <f t="shared" si="13"/>
        <v>5</v>
      </c>
      <c r="N97" s="31">
        <f t="shared" si="14"/>
        <v>11</v>
      </c>
      <c r="O97" s="8" t="str">
        <f t="shared" si="15"/>
        <v>Hitano-ECR</v>
      </c>
      <c r="P97" s="12" t="str">
        <f t="shared" si="11"/>
        <v>Hitano R-05.0x11.0</v>
      </c>
      <c r="Q97" s="12" t="str">
        <f t="shared" si="16"/>
        <v>3.3µF</v>
      </c>
      <c r="R97" s="12" t="str">
        <f t="shared" si="17"/>
        <v>63v</v>
      </c>
      <c r="S97" s="8" t="str">
        <f t="shared" si="12"/>
        <v>3.3µF 63v - R05.0-11.0 Hitano (ECR)</v>
      </c>
      <c r="T97" s="8">
        <f t="shared" si="18"/>
        <v>1</v>
      </c>
      <c r="U97" s="8" t="b">
        <f>NOT(ISNA(MATCH($P97,Packages!$A:$A,0)))</f>
        <v>1</v>
      </c>
    </row>
    <row r="98" spans="1:21" hidden="1">
      <c r="A98" s="6" t="s">
        <v>49</v>
      </c>
      <c r="B98" s="6" t="s">
        <v>50</v>
      </c>
      <c r="C98" s="33">
        <v>4.7</v>
      </c>
      <c r="D98" s="34">
        <v>63</v>
      </c>
      <c r="E98" s="6" t="s">
        <v>68</v>
      </c>
      <c r="F98" s="6" t="s">
        <v>59</v>
      </c>
      <c r="G98" s="6"/>
      <c r="H98" s="7" t="s">
        <v>141</v>
      </c>
      <c r="I98" s="7" t="str">
        <f t="shared" si="19"/>
        <v>HITANO</v>
      </c>
      <c r="J98" s="7" t="str">
        <f t="shared" si="20"/>
        <v>4.7µF 63v</v>
      </c>
      <c r="K98" s="7"/>
      <c r="L98" s="7" t="str">
        <f t="shared" si="21"/>
        <v>ECR</v>
      </c>
      <c r="M98" s="31">
        <f t="shared" si="13"/>
        <v>5</v>
      </c>
      <c r="N98" s="31">
        <f t="shared" si="14"/>
        <v>11</v>
      </c>
      <c r="O98" s="8" t="str">
        <f t="shared" si="15"/>
        <v>Hitano-ECR</v>
      </c>
      <c r="P98" s="12" t="str">
        <f t="shared" si="11"/>
        <v>Hitano R-05.0x11.0</v>
      </c>
      <c r="Q98" s="12" t="str">
        <f t="shared" si="16"/>
        <v>4.7µF</v>
      </c>
      <c r="R98" s="12" t="str">
        <f t="shared" si="17"/>
        <v>63v</v>
      </c>
      <c r="S98" s="8" t="str">
        <f t="shared" si="12"/>
        <v>4.7µF 63v - R05.0-11.0 Hitano (ECR)</v>
      </c>
      <c r="T98" s="8">
        <f t="shared" si="18"/>
        <v>1</v>
      </c>
      <c r="U98" s="8" t="b">
        <f>NOT(ISNA(MATCH($P98,Packages!$A:$A,0)))</f>
        <v>1</v>
      </c>
    </row>
    <row r="99" spans="1:21" hidden="1">
      <c r="A99" s="6" t="s">
        <v>49</v>
      </c>
      <c r="B99" s="6" t="s">
        <v>50</v>
      </c>
      <c r="C99" s="33">
        <v>10</v>
      </c>
      <c r="D99" s="34">
        <v>63</v>
      </c>
      <c r="E99" s="6" t="s">
        <v>68</v>
      </c>
      <c r="F99" s="6" t="s">
        <v>59</v>
      </c>
      <c r="G99" s="6"/>
      <c r="H99" s="7" t="s">
        <v>141</v>
      </c>
      <c r="I99" s="7" t="str">
        <f t="shared" si="19"/>
        <v>HITANO</v>
      </c>
      <c r="J99" s="7" t="str">
        <f t="shared" si="20"/>
        <v>10µF 63v</v>
      </c>
      <c r="K99" s="7"/>
      <c r="L99" s="7" t="str">
        <f t="shared" si="21"/>
        <v>ECR</v>
      </c>
      <c r="M99" s="31">
        <f t="shared" si="13"/>
        <v>5</v>
      </c>
      <c r="N99" s="31">
        <f t="shared" si="14"/>
        <v>11</v>
      </c>
      <c r="O99" s="8" t="str">
        <f t="shared" si="15"/>
        <v>Hitano-ECR</v>
      </c>
      <c r="P99" s="12" t="str">
        <f t="shared" si="11"/>
        <v>Hitano R-05.0x11.0</v>
      </c>
      <c r="Q99" s="12" t="str">
        <f t="shared" si="16"/>
        <v>10µF</v>
      </c>
      <c r="R99" s="12" t="str">
        <f t="shared" si="17"/>
        <v>63v</v>
      </c>
      <c r="S99" s="8" t="str">
        <f t="shared" si="12"/>
        <v>10µF 63v - R05.0-11.0 Hitano (ECR)</v>
      </c>
      <c r="T99" s="8">
        <f t="shared" si="18"/>
        <v>1</v>
      </c>
      <c r="U99" s="8" t="b">
        <f>NOT(ISNA(MATCH($P99,Packages!$A:$A,0)))</f>
        <v>1</v>
      </c>
    </row>
    <row r="100" spans="1:21" hidden="1">
      <c r="A100" s="6" t="s">
        <v>49</v>
      </c>
      <c r="B100" s="6" t="s">
        <v>50</v>
      </c>
      <c r="C100" s="33">
        <v>22</v>
      </c>
      <c r="D100" s="34">
        <v>63</v>
      </c>
      <c r="E100" s="6" t="s">
        <v>69</v>
      </c>
      <c r="F100" s="6" t="s">
        <v>59</v>
      </c>
      <c r="G100" s="6"/>
      <c r="H100" s="7" t="s">
        <v>141</v>
      </c>
      <c r="I100" s="7" t="str">
        <f t="shared" si="19"/>
        <v>HITANO</v>
      </c>
      <c r="J100" s="7" t="str">
        <f t="shared" si="20"/>
        <v>22µF 63v</v>
      </c>
      <c r="K100" s="7"/>
      <c r="L100" s="7" t="str">
        <f t="shared" si="21"/>
        <v>ECR</v>
      </c>
      <c r="M100" s="31">
        <f t="shared" si="13"/>
        <v>6.3</v>
      </c>
      <c r="N100" s="31">
        <f t="shared" si="14"/>
        <v>11</v>
      </c>
      <c r="O100" s="8" t="str">
        <f t="shared" si="15"/>
        <v>Hitano-ECR</v>
      </c>
      <c r="P100" s="12" t="str">
        <f t="shared" si="11"/>
        <v>Hitano R-06.0x11.0</v>
      </c>
      <c r="Q100" s="12" t="str">
        <f t="shared" si="16"/>
        <v>22µF</v>
      </c>
      <c r="R100" s="12" t="str">
        <f t="shared" si="17"/>
        <v>63v</v>
      </c>
      <c r="S100" s="8" t="str">
        <f t="shared" si="12"/>
        <v>22µF 63v - R06.3-11.0 Hitano (ECR)</v>
      </c>
      <c r="T100" s="8">
        <f t="shared" si="18"/>
        <v>1</v>
      </c>
      <c r="U100" s="8" t="b">
        <f>NOT(ISNA(MATCH($P100,Packages!$A:$A,0)))</f>
        <v>1</v>
      </c>
    </row>
    <row r="101" spans="1:21" hidden="1">
      <c r="A101" s="6" t="s">
        <v>49</v>
      </c>
      <c r="B101" s="6" t="s">
        <v>50</v>
      </c>
      <c r="C101" s="33">
        <v>33</v>
      </c>
      <c r="D101" s="34">
        <v>63</v>
      </c>
      <c r="E101" s="6" t="s">
        <v>69</v>
      </c>
      <c r="F101" s="6" t="s">
        <v>59</v>
      </c>
      <c r="G101" s="6"/>
      <c r="H101" s="7" t="s">
        <v>141</v>
      </c>
      <c r="I101" s="7" t="str">
        <f t="shared" si="19"/>
        <v>HITANO</v>
      </c>
      <c r="J101" s="7" t="str">
        <f t="shared" si="20"/>
        <v>33µF 63v</v>
      </c>
      <c r="K101" s="7"/>
      <c r="L101" s="7" t="str">
        <f t="shared" si="21"/>
        <v>ECR</v>
      </c>
      <c r="M101" s="31">
        <f t="shared" si="13"/>
        <v>6.3</v>
      </c>
      <c r="N101" s="31">
        <f t="shared" si="14"/>
        <v>11</v>
      </c>
      <c r="O101" s="8" t="str">
        <f t="shared" si="15"/>
        <v>Hitano-ECR</v>
      </c>
      <c r="P101" s="12" t="str">
        <f t="shared" si="11"/>
        <v>Hitano R-06.0x11.0</v>
      </c>
      <c r="Q101" s="12" t="str">
        <f t="shared" si="16"/>
        <v>33µF</v>
      </c>
      <c r="R101" s="12" t="str">
        <f t="shared" si="17"/>
        <v>63v</v>
      </c>
      <c r="S101" s="8" t="str">
        <f t="shared" si="12"/>
        <v>33µF 63v - R06.3-11.0 Hitano (ECR)</v>
      </c>
      <c r="T101" s="8">
        <f t="shared" si="18"/>
        <v>1</v>
      </c>
      <c r="U101" s="8" t="b">
        <f>NOT(ISNA(MATCH($P101,Packages!$A:$A,0)))</f>
        <v>1</v>
      </c>
    </row>
    <row r="102" spans="1:21" hidden="1">
      <c r="A102" s="6" t="s">
        <v>49</v>
      </c>
      <c r="B102" s="6" t="s">
        <v>50</v>
      </c>
      <c r="C102" s="33">
        <v>47</v>
      </c>
      <c r="D102" s="34">
        <v>63</v>
      </c>
      <c r="E102" s="6" t="s">
        <v>69</v>
      </c>
      <c r="F102" s="6" t="s">
        <v>59</v>
      </c>
      <c r="G102" s="6"/>
      <c r="H102" s="7" t="s">
        <v>141</v>
      </c>
      <c r="I102" s="7" t="str">
        <f t="shared" si="19"/>
        <v>HITANO</v>
      </c>
      <c r="J102" s="7" t="str">
        <f t="shared" si="20"/>
        <v>47µF 63v</v>
      </c>
      <c r="K102" s="7"/>
      <c r="L102" s="7" t="str">
        <f t="shared" si="21"/>
        <v>ECR</v>
      </c>
      <c r="M102" s="31">
        <f t="shared" si="13"/>
        <v>6.3</v>
      </c>
      <c r="N102" s="31">
        <f t="shared" si="14"/>
        <v>11</v>
      </c>
      <c r="O102" s="8" t="str">
        <f t="shared" si="15"/>
        <v>Hitano-ECR</v>
      </c>
      <c r="P102" s="12" t="str">
        <f t="shared" si="11"/>
        <v>Hitano R-06.0x11.0</v>
      </c>
      <c r="Q102" s="12" t="str">
        <f t="shared" si="16"/>
        <v>47µF</v>
      </c>
      <c r="R102" s="12" t="str">
        <f t="shared" si="17"/>
        <v>63v</v>
      </c>
      <c r="S102" s="8" t="str">
        <f t="shared" si="12"/>
        <v>47µF 63v - R06.3-11.0 Hitano (ECR)</v>
      </c>
      <c r="T102" s="8">
        <f t="shared" si="18"/>
        <v>1</v>
      </c>
      <c r="U102" s="8" t="b">
        <f>NOT(ISNA(MATCH($P102,Packages!$A:$A,0)))</f>
        <v>1</v>
      </c>
    </row>
    <row r="103" spans="1:21" hidden="1">
      <c r="A103" s="6" t="s">
        <v>49</v>
      </c>
      <c r="B103" s="6" t="s">
        <v>50</v>
      </c>
      <c r="C103" s="33">
        <v>47</v>
      </c>
      <c r="D103" s="34">
        <v>63</v>
      </c>
      <c r="E103" s="6" t="s">
        <v>71</v>
      </c>
      <c r="F103" s="6" t="s">
        <v>59</v>
      </c>
      <c r="G103" s="6"/>
      <c r="H103" s="7" t="s">
        <v>141</v>
      </c>
      <c r="I103" s="7" t="str">
        <f t="shared" si="19"/>
        <v>HITANO</v>
      </c>
      <c r="J103" s="7" t="str">
        <f t="shared" si="20"/>
        <v>47µF 63v</v>
      </c>
      <c r="K103" s="7"/>
      <c r="L103" s="7" t="str">
        <f t="shared" si="21"/>
        <v>ECR</v>
      </c>
      <c r="M103" s="31">
        <f t="shared" si="13"/>
        <v>8</v>
      </c>
      <c r="N103" s="31">
        <f t="shared" si="14"/>
        <v>12</v>
      </c>
      <c r="O103" s="8" t="str">
        <f t="shared" si="15"/>
        <v>Hitano-ECR</v>
      </c>
      <c r="P103" s="12" t="str">
        <f t="shared" si="11"/>
        <v>Hitano R-08.0x12.0</v>
      </c>
      <c r="Q103" s="12" t="str">
        <f t="shared" si="16"/>
        <v>47µF</v>
      </c>
      <c r="R103" s="12" t="str">
        <f t="shared" si="17"/>
        <v>63v</v>
      </c>
      <c r="S103" s="8" t="str">
        <f t="shared" si="12"/>
        <v>47µF 63v - R08.0-12.0 Hitano (ECR)</v>
      </c>
      <c r="T103" s="8">
        <f t="shared" si="18"/>
        <v>1</v>
      </c>
      <c r="U103" s="8" t="b">
        <f>NOT(ISNA(MATCH($P103,Packages!$A:$A,0)))</f>
        <v>1</v>
      </c>
    </row>
    <row r="104" spans="1:21" hidden="1">
      <c r="A104" s="6" t="s">
        <v>49</v>
      </c>
      <c r="B104" s="6" t="s">
        <v>50</v>
      </c>
      <c r="C104" s="33">
        <v>100</v>
      </c>
      <c r="D104" s="34">
        <v>63</v>
      </c>
      <c r="E104" s="6" t="s">
        <v>72</v>
      </c>
      <c r="F104" s="6" t="s">
        <v>59</v>
      </c>
      <c r="G104" s="6"/>
      <c r="H104" s="7" t="s">
        <v>141</v>
      </c>
      <c r="I104" s="7" t="str">
        <f t="shared" si="19"/>
        <v>HITANO</v>
      </c>
      <c r="J104" s="7" t="str">
        <f t="shared" si="20"/>
        <v>100µF 63v</v>
      </c>
      <c r="K104" s="7"/>
      <c r="L104" s="7" t="str">
        <f t="shared" si="21"/>
        <v>ECR</v>
      </c>
      <c r="M104" s="31">
        <f t="shared" si="13"/>
        <v>10</v>
      </c>
      <c r="N104" s="31">
        <f t="shared" si="14"/>
        <v>13</v>
      </c>
      <c r="O104" s="8" t="str">
        <f t="shared" si="15"/>
        <v>Hitano-ECR</v>
      </c>
      <c r="P104" s="12" t="str">
        <f t="shared" si="11"/>
        <v>Hitano R-10.0x13.0</v>
      </c>
      <c r="Q104" s="12" t="str">
        <f t="shared" si="16"/>
        <v>100µF</v>
      </c>
      <c r="R104" s="12" t="str">
        <f t="shared" si="17"/>
        <v>63v</v>
      </c>
      <c r="S104" s="8" t="str">
        <f t="shared" si="12"/>
        <v>100µF 63v - R10.0-13.0 Hitano (ECR)</v>
      </c>
      <c r="T104" s="8">
        <f t="shared" si="18"/>
        <v>1</v>
      </c>
      <c r="U104" s="8" t="b">
        <f>NOT(ISNA(MATCH($P104,Packages!$A:$A,0)))</f>
        <v>1</v>
      </c>
    </row>
    <row r="105" spans="1:21" hidden="1">
      <c r="A105" s="6" t="s">
        <v>49</v>
      </c>
      <c r="B105" s="6" t="s">
        <v>50</v>
      </c>
      <c r="C105" s="33">
        <v>220</v>
      </c>
      <c r="D105" s="34">
        <v>63</v>
      </c>
      <c r="E105" s="6" t="s">
        <v>74</v>
      </c>
      <c r="F105" s="6" t="s">
        <v>59</v>
      </c>
      <c r="G105" s="6"/>
      <c r="H105" s="7" t="s">
        <v>141</v>
      </c>
      <c r="I105" s="7" t="str">
        <f t="shared" si="19"/>
        <v>HITANO</v>
      </c>
      <c r="J105" s="7" t="str">
        <f t="shared" si="20"/>
        <v>220µF 63v</v>
      </c>
      <c r="K105" s="7"/>
      <c r="L105" s="7" t="str">
        <f t="shared" si="21"/>
        <v>ECR</v>
      </c>
      <c r="M105" s="31">
        <f t="shared" si="13"/>
        <v>10</v>
      </c>
      <c r="N105" s="31">
        <f t="shared" si="14"/>
        <v>16</v>
      </c>
      <c r="O105" s="8" t="str">
        <f t="shared" si="15"/>
        <v>Hitano-ECR</v>
      </c>
      <c r="P105" s="12" t="str">
        <f t="shared" si="11"/>
        <v>Hitano R-10.0x16.0</v>
      </c>
      <c r="Q105" s="12" t="str">
        <f t="shared" si="16"/>
        <v>220µF</v>
      </c>
      <c r="R105" s="12" t="str">
        <f t="shared" si="17"/>
        <v>63v</v>
      </c>
      <c r="S105" s="8" t="str">
        <f t="shared" si="12"/>
        <v>220µF 63v - R10.0-16.0 Hitano (ECR)</v>
      </c>
      <c r="T105" s="8">
        <f t="shared" si="18"/>
        <v>1</v>
      </c>
      <c r="U105" s="8" t="b">
        <f>NOT(ISNA(MATCH($P105,Packages!$A:$A,0)))</f>
        <v>1</v>
      </c>
    </row>
    <row r="106" spans="1:21" hidden="1">
      <c r="A106" s="6" t="s">
        <v>49</v>
      </c>
      <c r="B106" s="6" t="s">
        <v>50</v>
      </c>
      <c r="C106" s="33">
        <v>220</v>
      </c>
      <c r="D106" s="34">
        <v>63</v>
      </c>
      <c r="E106" s="6" t="s">
        <v>75</v>
      </c>
      <c r="F106" s="6" t="s">
        <v>59</v>
      </c>
      <c r="G106" s="6"/>
      <c r="H106" s="7" t="s">
        <v>141</v>
      </c>
      <c r="I106" s="7" t="str">
        <f t="shared" si="19"/>
        <v>HITANO</v>
      </c>
      <c r="J106" s="7" t="str">
        <f t="shared" si="20"/>
        <v>220µF 63v</v>
      </c>
      <c r="K106" s="7"/>
      <c r="L106" s="7" t="str">
        <f t="shared" si="21"/>
        <v>ECR</v>
      </c>
      <c r="M106" s="31">
        <f t="shared" si="13"/>
        <v>10</v>
      </c>
      <c r="N106" s="31">
        <f t="shared" si="14"/>
        <v>21</v>
      </c>
      <c r="O106" s="8" t="str">
        <f t="shared" si="15"/>
        <v>Hitano-ECR</v>
      </c>
      <c r="P106" s="12" t="str">
        <f t="shared" si="11"/>
        <v>Hitano R-10.0x21.0</v>
      </c>
      <c r="Q106" s="12" t="str">
        <f t="shared" si="16"/>
        <v>220µF</v>
      </c>
      <c r="R106" s="12" t="str">
        <f t="shared" si="17"/>
        <v>63v</v>
      </c>
      <c r="S106" s="8" t="str">
        <f t="shared" si="12"/>
        <v>220µF 63v - R10.0-21.0 Hitano (ECR)</v>
      </c>
      <c r="T106" s="8">
        <f t="shared" si="18"/>
        <v>1</v>
      </c>
      <c r="U106" s="8" t="b">
        <f>NOT(ISNA(MATCH($P106,Packages!$A:$A,0)))</f>
        <v>1</v>
      </c>
    </row>
    <row r="107" spans="1:21" hidden="1">
      <c r="A107" s="6" t="s">
        <v>49</v>
      </c>
      <c r="B107" s="6" t="s">
        <v>50</v>
      </c>
      <c r="C107" s="33">
        <v>330</v>
      </c>
      <c r="D107" s="34">
        <v>63</v>
      </c>
      <c r="E107" s="6" t="s">
        <v>75</v>
      </c>
      <c r="F107" s="6" t="s">
        <v>59</v>
      </c>
      <c r="G107" s="6"/>
      <c r="H107" s="7" t="s">
        <v>141</v>
      </c>
      <c r="I107" s="7" t="str">
        <f t="shared" si="19"/>
        <v>HITANO</v>
      </c>
      <c r="J107" s="7" t="str">
        <f t="shared" si="20"/>
        <v>330µF 63v</v>
      </c>
      <c r="K107" s="7"/>
      <c r="L107" s="7" t="str">
        <f t="shared" si="21"/>
        <v>ECR</v>
      </c>
      <c r="M107" s="31">
        <f t="shared" si="13"/>
        <v>10</v>
      </c>
      <c r="N107" s="31">
        <f t="shared" si="14"/>
        <v>21</v>
      </c>
      <c r="O107" s="8" t="str">
        <f t="shared" si="15"/>
        <v>Hitano-ECR</v>
      </c>
      <c r="P107" s="12" t="str">
        <f t="shared" si="11"/>
        <v>Hitano R-10.0x21.0</v>
      </c>
      <c r="Q107" s="12" t="str">
        <f t="shared" si="16"/>
        <v>330µF</v>
      </c>
      <c r="R107" s="12" t="str">
        <f t="shared" si="17"/>
        <v>63v</v>
      </c>
      <c r="S107" s="8" t="str">
        <f t="shared" si="12"/>
        <v>330µF 63v - R10.0-21.0 Hitano (ECR)</v>
      </c>
      <c r="T107" s="8">
        <f t="shared" si="18"/>
        <v>1</v>
      </c>
      <c r="U107" s="8" t="b">
        <f>NOT(ISNA(MATCH($P107,Packages!$A:$A,0)))</f>
        <v>1</v>
      </c>
    </row>
    <row r="108" spans="1:21" hidden="1">
      <c r="A108" s="6" t="s">
        <v>49</v>
      </c>
      <c r="B108" s="6" t="s">
        <v>50</v>
      </c>
      <c r="C108" s="33">
        <v>470</v>
      </c>
      <c r="D108" s="34">
        <v>63</v>
      </c>
      <c r="E108" s="6" t="s">
        <v>77</v>
      </c>
      <c r="F108" s="6" t="s">
        <v>59</v>
      </c>
      <c r="G108" s="6"/>
      <c r="H108" s="7" t="s">
        <v>141</v>
      </c>
      <c r="I108" s="7" t="str">
        <f t="shared" si="19"/>
        <v>HITANO</v>
      </c>
      <c r="J108" s="7" t="str">
        <f t="shared" si="20"/>
        <v>470µF 63v</v>
      </c>
      <c r="K108" s="7"/>
      <c r="L108" s="7" t="str">
        <f t="shared" si="21"/>
        <v>ECR</v>
      </c>
      <c r="M108" s="31">
        <f t="shared" si="13"/>
        <v>13</v>
      </c>
      <c r="N108" s="31">
        <f t="shared" si="14"/>
        <v>26</v>
      </c>
      <c r="O108" s="8" t="str">
        <f t="shared" si="15"/>
        <v>Hitano-ECR</v>
      </c>
      <c r="P108" s="12" t="str">
        <f t="shared" si="11"/>
        <v>Hitano R-13.0x26.0</v>
      </c>
      <c r="Q108" s="12" t="str">
        <f t="shared" si="16"/>
        <v>470µF</v>
      </c>
      <c r="R108" s="12" t="str">
        <f t="shared" si="17"/>
        <v>63v</v>
      </c>
      <c r="S108" s="8" t="str">
        <f t="shared" si="12"/>
        <v>470µF 63v - R13.0-26.0 Hitano (ECR)</v>
      </c>
      <c r="T108" s="8">
        <f t="shared" si="18"/>
        <v>1</v>
      </c>
      <c r="U108" s="8" t="b">
        <f>NOT(ISNA(MATCH($P108,Packages!$A:$A,0)))</f>
        <v>1</v>
      </c>
    </row>
    <row r="109" spans="1:21" hidden="1">
      <c r="A109" s="6" t="s">
        <v>49</v>
      </c>
      <c r="B109" s="6" t="s">
        <v>50</v>
      </c>
      <c r="C109" s="33">
        <v>1000</v>
      </c>
      <c r="D109" s="34">
        <v>63</v>
      </c>
      <c r="E109" s="6" t="s">
        <v>78</v>
      </c>
      <c r="F109" s="6" t="s">
        <v>59</v>
      </c>
      <c r="G109" s="6"/>
      <c r="H109" s="7" t="s">
        <v>141</v>
      </c>
      <c r="I109" s="7" t="str">
        <f t="shared" si="19"/>
        <v>HITANO</v>
      </c>
      <c r="J109" s="7" t="str">
        <f t="shared" si="20"/>
        <v>1000µF 63v</v>
      </c>
      <c r="K109" s="7"/>
      <c r="L109" s="7" t="str">
        <f t="shared" si="21"/>
        <v>ECR</v>
      </c>
      <c r="M109" s="31">
        <f t="shared" si="13"/>
        <v>16</v>
      </c>
      <c r="N109" s="31">
        <f t="shared" si="14"/>
        <v>26</v>
      </c>
      <c r="O109" s="8" t="str">
        <f t="shared" si="15"/>
        <v>Hitano-ECR</v>
      </c>
      <c r="P109" s="12" t="str">
        <f t="shared" si="11"/>
        <v>Hitano R-16.0x26.0</v>
      </c>
      <c r="Q109" s="12" t="str">
        <f t="shared" si="16"/>
        <v>1000µF</v>
      </c>
      <c r="R109" s="12" t="str">
        <f t="shared" si="17"/>
        <v>63v</v>
      </c>
      <c r="S109" s="8" t="str">
        <f t="shared" si="12"/>
        <v>1000µF 63v - R16.0-26.0 Hitano (ECR)</v>
      </c>
      <c r="T109" s="8">
        <f t="shared" si="18"/>
        <v>1</v>
      </c>
      <c r="U109" s="8" t="b">
        <f>NOT(ISNA(MATCH($P109,Packages!$A:$A,0)))</f>
        <v>1</v>
      </c>
    </row>
    <row r="110" spans="1:21" hidden="1">
      <c r="A110" s="6" t="s">
        <v>49</v>
      </c>
      <c r="B110" s="6" t="s">
        <v>50</v>
      </c>
      <c r="C110" s="33">
        <v>2200</v>
      </c>
      <c r="D110" s="34">
        <v>63</v>
      </c>
      <c r="E110" s="6" t="s">
        <v>80</v>
      </c>
      <c r="F110" s="6" t="s">
        <v>59</v>
      </c>
      <c r="G110" s="6"/>
      <c r="H110" s="7" t="s">
        <v>141</v>
      </c>
      <c r="I110" s="7" t="str">
        <f t="shared" si="19"/>
        <v>HITANO</v>
      </c>
      <c r="J110" s="7" t="str">
        <f t="shared" si="20"/>
        <v>2200µF 63v</v>
      </c>
      <c r="K110" s="7"/>
      <c r="L110" s="7" t="str">
        <f t="shared" si="21"/>
        <v>ECR</v>
      </c>
      <c r="M110" s="31">
        <f t="shared" si="13"/>
        <v>18</v>
      </c>
      <c r="N110" s="31">
        <f t="shared" si="14"/>
        <v>36</v>
      </c>
      <c r="O110" s="8" t="str">
        <f t="shared" si="15"/>
        <v>Hitano-ECR</v>
      </c>
      <c r="P110" s="12" t="str">
        <f t="shared" si="11"/>
        <v>Hitano R-18.0x36.0</v>
      </c>
      <c r="Q110" s="12" t="str">
        <f t="shared" si="16"/>
        <v>2200µF</v>
      </c>
      <c r="R110" s="12" t="str">
        <f t="shared" si="17"/>
        <v>63v</v>
      </c>
      <c r="S110" s="8" t="str">
        <f t="shared" si="12"/>
        <v>2200µF 63v - R18.0-36.0 Hitano (ECR)</v>
      </c>
      <c r="T110" s="8">
        <f t="shared" si="18"/>
        <v>1</v>
      </c>
      <c r="U110" s="8" t="b">
        <f>NOT(ISNA(MATCH($P110,Packages!$A:$A,0)))</f>
        <v>1</v>
      </c>
    </row>
    <row r="111" spans="1:21" hidden="1">
      <c r="A111" s="6" t="s">
        <v>49</v>
      </c>
      <c r="B111" s="6" t="s">
        <v>50</v>
      </c>
      <c r="C111" s="33">
        <v>3300</v>
      </c>
      <c r="D111" s="34">
        <v>63</v>
      </c>
      <c r="E111" s="6" t="s">
        <v>82</v>
      </c>
      <c r="F111" s="6" t="s">
        <v>59</v>
      </c>
      <c r="G111" s="6"/>
      <c r="H111" s="7" t="s">
        <v>141</v>
      </c>
      <c r="I111" s="7" t="str">
        <f t="shared" si="19"/>
        <v>HITANO</v>
      </c>
      <c r="J111" s="7" t="str">
        <f t="shared" si="20"/>
        <v>3300µF 63v</v>
      </c>
      <c r="K111" s="7"/>
      <c r="L111" s="7" t="str">
        <f t="shared" si="21"/>
        <v>ECR</v>
      </c>
      <c r="M111" s="31">
        <f t="shared" si="13"/>
        <v>22</v>
      </c>
      <c r="N111" s="31">
        <f t="shared" si="14"/>
        <v>41</v>
      </c>
      <c r="O111" s="8" t="str">
        <f t="shared" si="15"/>
        <v>Hitano-ECR</v>
      </c>
      <c r="P111" s="12" t="str">
        <f t="shared" si="11"/>
        <v>Hitano R-22.0x41.0</v>
      </c>
      <c r="Q111" s="12" t="str">
        <f t="shared" si="16"/>
        <v>3300µF</v>
      </c>
      <c r="R111" s="12" t="str">
        <f t="shared" si="17"/>
        <v>63v</v>
      </c>
      <c r="S111" s="8" t="str">
        <f t="shared" si="12"/>
        <v>3300µF 63v - R22.0-41.0 Hitano (ECR)</v>
      </c>
      <c r="T111" s="8">
        <f t="shared" si="18"/>
        <v>1</v>
      </c>
      <c r="U111" s="8" t="b">
        <f>NOT(ISNA(MATCH($P111,Packages!$A:$A,0)))</f>
        <v>1</v>
      </c>
    </row>
    <row r="112" spans="1:21" hidden="1">
      <c r="A112" s="6" t="s">
        <v>49</v>
      </c>
      <c r="B112" s="6" t="s">
        <v>50</v>
      </c>
      <c r="C112" s="33">
        <v>4700</v>
      </c>
      <c r="D112" s="34">
        <v>63</v>
      </c>
      <c r="E112" s="6" t="s">
        <v>83</v>
      </c>
      <c r="F112" s="6" t="s">
        <v>59</v>
      </c>
      <c r="G112" s="6"/>
      <c r="H112" s="7" t="s">
        <v>141</v>
      </c>
      <c r="I112" s="7" t="str">
        <f t="shared" si="19"/>
        <v>HITANO</v>
      </c>
      <c r="J112" s="7" t="str">
        <f t="shared" si="20"/>
        <v>4700µF 63v</v>
      </c>
      <c r="K112" s="7"/>
      <c r="L112" s="7" t="str">
        <f t="shared" si="21"/>
        <v>ECR</v>
      </c>
      <c r="M112" s="31">
        <f t="shared" si="13"/>
        <v>25</v>
      </c>
      <c r="N112" s="31">
        <f t="shared" si="14"/>
        <v>41</v>
      </c>
      <c r="O112" s="8" t="str">
        <f t="shared" si="15"/>
        <v>Hitano-ECR</v>
      </c>
      <c r="P112" s="12" t="str">
        <f t="shared" si="11"/>
        <v>Hitano R-25.0x41.0</v>
      </c>
      <c r="Q112" s="12" t="str">
        <f t="shared" si="16"/>
        <v>4700µF</v>
      </c>
      <c r="R112" s="12" t="str">
        <f t="shared" si="17"/>
        <v>63v</v>
      </c>
      <c r="S112" s="8" t="str">
        <f t="shared" si="12"/>
        <v>4700µF 63v - R25.0-41.0 Hitano (ECR)</v>
      </c>
      <c r="T112" s="8">
        <f t="shared" si="18"/>
        <v>1</v>
      </c>
      <c r="U112" s="8" t="b">
        <f>NOT(ISNA(MATCH($P112,Packages!$A:$A,0)))</f>
        <v>1</v>
      </c>
    </row>
    <row r="113" spans="1:21" hidden="1">
      <c r="A113" s="6" t="s">
        <v>49</v>
      </c>
      <c r="B113" s="6" t="s">
        <v>50</v>
      </c>
      <c r="C113" s="33">
        <v>0.47</v>
      </c>
      <c r="D113" s="34">
        <v>100</v>
      </c>
      <c r="E113" s="6" t="s">
        <v>68</v>
      </c>
      <c r="F113" s="6" t="s">
        <v>59</v>
      </c>
      <c r="G113" s="6"/>
      <c r="H113" s="7" t="s">
        <v>141</v>
      </c>
      <c r="I113" s="7" t="str">
        <f t="shared" si="19"/>
        <v>HITANO</v>
      </c>
      <c r="J113" s="7" t="str">
        <f t="shared" si="20"/>
        <v>0.47µF 100v</v>
      </c>
      <c r="K113" s="7"/>
      <c r="L113" s="7" t="str">
        <f t="shared" si="21"/>
        <v>ECR</v>
      </c>
      <c r="M113" s="31">
        <f t="shared" si="13"/>
        <v>5</v>
      </c>
      <c r="N113" s="31">
        <f t="shared" si="14"/>
        <v>11</v>
      </c>
      <c r="O113" s="8" t="str">
        <f t="shared" si="15"/>
        <v>Hitano-ECR</v>
      </c>
      <c r="P113" s="12" t="str">
        <f t="shared" si="11"/>
        <v>Hitano R-05.0x11.0</v>
      </c>
      <c r="Q113" s="12" t="str">
        <f t="shared" si="16"/>
        <v>0.47µF</v>
      </c>
      <c r="R113" s="12" t="str">
        <f t="shared" si="17"/>
        <v>100v</v>
      </c>
      <c r="S113" s="8" t="str">
        <f t="shared" si="12"/>
        <v>0.47µF 100v - R05.0-11.0 Hitano (ECR)</v>
      </c>
      <c r="T113" s="8">
        <f t="shared" si="18"/>
        <v>1</v>
      </c>
      <c r="U113" s="8" t="b">
        <f>NOT(ISNA(MATCH($P113,Packages!$A:$A,0)))</f>
        <v>1</v>
      </c>
    </row>
    <row r="114" spans="1:21" hidden="1">
      <c r="A114" s="6" t="s">
        <v>49</v>
      </c>
      <c r="B114" s="6" t="s">
        <v>50</v>
      </c>
      <c r="C114" s="33">
        <v>1</v>
      </c>
      <c r="D114" s="34">
        <v>100</v>
      </c>
      <c r="E114" s="6" t="s">
        <v>68</v>
      </c>
      <c r="F114" s="6" t="s">
        <v>59</v>
      </c>
      <c r="G114" s="6"/>
      <c r="H114" s="7" t="s">
        <v>141</v>
      </c>
      <c r="I114" s="7" t="str">
        <f t="shared" si="19"/>
        <v>HITANO</v>
      </c>
      <c r="J114" s="7" t="str">
        <f t="shared" si="20"/>
        <v>1µF 100v</v>
      </c>
      <c r="K114" s="7"/>
      <c r="L114" s="7" t="str">
        <f t="shared" si="21"/>
        <v>ECR</v>
      </c>
      <c r="M114" s="31">
        <f t="shared" si="13"/>
        <v>5</v>
      </c>
      <c r="N114" s="31">
        <f t="shared" si="14"/>
        <v>11</v>
      </c>
      <c r="O114" s="8" t="str">
        <f t="shared" si="15"/>
        <v>Hitano-ECR</v>
      </c>
      <c r="P114" s="12" t="str">
        <f t="shared" si="11"/>
        <v>Hitano R-05.0x11.0</v>
      </c>
      <c r="Q114" s="12" t="str">
        <f t="shared" si="16"/>
        <v>1µF</v>
      </c>
      <c r="R114" s="12" t="str">
        <f t="shared" si="17"/>
        <v>100v</v>
      </c>
      <c r="S114" s="8" t="str">
        <f t="shared" si="12"/>
        <v>1µF 100v - R05.0-11.0 Hitano (ECR)</v>
      </c>
      <c r="T114" s="8">
        <f t="shared" si="18"/>
        <v>1</v>
      </c>
      <c r="U114" s="8" t="b">
        <f>NOT(ISNA(MATCH($P114,Packages!$A:$A,0)))</f>
        <v>1</v>
      </c>
    </row>
    <row r="115" spans="1:21" hidden="1">
      <c r="A115" s="6" t="s">
        <v>49</v>
      </c>
      <c r="B115" s="6" t="s">
        <v>50</v>
      </c>
      <c r="C115" s="33">
        <v>2.2000000000000002</v>
      </c>
      <c r="D115" s="34">
        <v>100</v>
      </c>
      <c r="E115" s="6" t="s">
        <v>68</v>
      </c>
      <c r="F115" s="6" t="s">
        <v>59</v>
      </c>
      <c r="G115" s="6"/>
      <c r="H115" s="7" t="s">
        <v>141</v>
      </c>
      <c r="I115" s="7" t="str">
        <f t="shared" si="19"/>
        <v>HITANO</v>
      </c>
      <c r="J115" s="7" t="str">
        <f t="shared" si="20"/>
        <v>2.2µF 100v</v>
      </c>
      <c r="K115" s="7"/>
      <c r="L115" s="7" t="str">
        <f t="shared" si="21"/>
        <v>ECR</v>
      </c>
      <c r="M115" s="31">
        <f t="shared" si="13"/>
        <v>5</v>
      </c>
      <c r="N115" s="31">
        <f t="shared" si="14"/>
        <v>11</v>
      </c>
      <c r="O115" s="8" t="str">
        <f t="shared" si="15"/>
        <v>Hitano-ECR</v>
      </c>
      <c r="P115" s="12" t="str">
        <f t="shared" si="11"/>
        <v>Hitano R-05.0x11.0</v>
      </c>
      <c r="Q115" s="12" t="str">
        <f t="shared" si="16"/>
        <v>2.2µF</v>
      </c>
      <c r="R115" s="12" t="str">
        <f t="shared" si="17"/>
        <v>100v</v>
      </c>
      <c r="S115" s="8" t="str">
        <f t="shared" si="12"/>
        <v>2.2µF 100v - R05.0-11.0 Hitano (ECR)</v>
      </c>
      <c r="T115" s="8">
        <f t="shared" si="18"/>
        <v>1</v>
      </c>
      <c r="U115" s="8" t="b">
        <f>NOT(ISNA(MATCH($P115,Packages!$A:$A,0)))</f>
        <v>1</v>
      </c>
    </row>
    <row r="116" spans="1:21" hidden="1">
      <c r="A116" s="6" t="s">
        <v>49</v>
      </c>
      <c r="B116" s="6" t="s">
        <v>50</v>
      </c>
      <c r="C116" s="33">
        <v>3.3</v>
      </c>
      <c r="D116" s="34">
        <v>100</v>
      </c>
      <c r="E116" s="6" t="s">
        <v>68</v>
      </c>
      <c r="F116" s="6" t="s">
        <v>59</v>
      </c>
      <c r="G116" s="6"/>
      <c r="H116" s="7" t="s">
        <v>141</v>
      </c>
      <c r="I116" s="7" t="str">
        <f t="shared" si="19"/>
        <v>HITANO</v>
      </c>
      <c r="J116" s="7" t="str">
        <f t="shared" si="20"/>
        <v>3.3µF 100v</v>
      </c>
      <c r="K116" s="7"/>
      <c r="L116" s="7" t="str">
        <f t="shared" si="21"/>
        <v>ECR</v>
      </c>
      <c r="M116" s="31">
        <f t="shared" si="13"/>
        <v>5</v>
      </c>
      <c r="N116" s="31">
        <f t="shared" si="14"/>
        <v>11</v>
      </c>
      <c r="O116" s="8" t="str">
        <f t="shared" si="15"/>
        <v>Hitano-ECR</v>
      </c>
      <c r="P116" s="12" t="str">
        <f t="shared" si="11"/>
        <v>Hitano R-05.0x11.0</v>
      </c>
      <c r="Q116" s="12" t="str">
        <f t="shared" si="16"/>
        <v>3.3µF</v>
      </c>
      <c r="R116" s="12" t="str">
        <f t="shared" si="17"/>
        <v>100v</v>
      </c>
      <c r="S116" s="8" t="str">
        <f t="shared" si="12"/>
        <v>3.3µF 100v - R05.0-11.0 Hitano (ECR)</v>
      </c>
      <c r="T116" s="8">
        <f t="shared" si="18"/>
        <v>1</v>
      </c>
      <c r="U116" s="8" t="b">
        <f>NOT(ISNA(MATCH($P116,Packages!$A:$A,0)))</f>
        <v>1</v>
      </c>
    </row>
    <row r="117" spans="1:21" hidden="1">
      <c r="A117" s="6" t="s">
        <v>49</v>
      </c>
      <c r="B117" s="6" t="s">
        <v>50</v>
      </c>
      <c r="C117" s="33">
        <v>4.7</v>
      </c>
      <c r="D117" s="34">
        <v>100</v>
      </c>
      <c r="E117" s="6" t="s">
        <v>68</v>
      </c>
      <c r="F117" s="6" t="s">
        <v>59</v>
      </c>
      <c r="G117" s="6"/>
      <c r="H117" s="7" t="s">
        <v>141</v>
      </c>
      <c r="I117" s="7" t="str">
        <f t="shared" si="19"/>
        <v>HITANO</v>
      </c>
      <c r="J117" s="7" t="str">
        <f t="shared" si="20"/>
        <v>4.7µF 100v</v>
      </c>
      <c r="K117" s="7"/>
      <c r="L117" s="7" t="str">
        <f t="shared" si="21"/>
        <v>ECR</v>
      </c>
      <c r="M117" s="31">
        <f t="shared" si="13"/>
        <v>5</v>
      </c>
      <c r="N117" s="31">
        <f t="shared" si="14"/>
        <v>11</v>
      </c>
      <c r="O117" s="8" t="str">
        <f t="shared" si="15"/>
        <v>Hitano-ECR</v>
      </c>
      <c r="P117" s="12" t="str">
        <f t="shared" si="11"/>
        <v>Hitano R-05.0x11.0</v>
      </c>
      <c r="Q117" s="12" t="str">
        <f t="shared" si="16"/>
        <v>4.7µF</v>
      </c>
      <c r="R117" s="12" t="str">
        <f t="shared" si="17"/>
        <v>100v</v>
      </c>
      <c r="S117" s="8" t="str">
        <f t="shared" si="12"/>
        <v>4.7µF 100v - R05.0-11.0 Hitano (ECR)</v>
      </c>
      <c r="T117" s="8">
        <f t="shared" si="18"/>
        <v>1</v>
      </c>
      <c r="U117" s="8" t="b">
        <f>NOT(ISNA(MATCH($P117,Packages!$A:$A,0)))</f>
        <v>1</v>
      </c>
    </row>
    <row r="118" spans="1:21" hidden="1">
      <c r="A118" s="6" t="s">
        <v>49</v>
      </c>
      <c r="B118" s="6" t="s">
        <v>50</v>
      </c>
      <c r="C118" s="33">
        <v>10</v>
      </c>
      <c r="D118" s="34">
        <v>100</v>
      </c>
      <c r="E118" s="6" t="s">
        <v>69</v>
      </c>
      <c r="F118" s="6" t="s">
        <v>59</v>
      </c>
      <c r="G118" s="6"/>
      <c r="H118" s="7" t="s">
        <v>141</v>
      </c>
      <c r="I118" s="7" t="str">
        <f t="shared" si="19"/>
        <v>HITANO</v>
      </c>
      <c r="J118" s="7" t="str">
        <f t="shared" si="20"/>
        <v>10µF 100v</v>
      </c>
      <c r="K118" s="7"/>
      <c r="L118" s="7" t="str">
        <f t="shared" si="21"/>
        <v>ECR</v>
      </c>
      <c r="M118" s="31">
        <f t="shared" si="13"/>
        <v>6.3</v>
      </c>
      <c r="N118" s="31">
        <f t="shared" si="14"/>
        <v>11</v>
      </c>
      <c r="O118" s="8" t="str">
        <f t="shared" si="15"/>
        <v>Hitano-ECR</v>
      </c>
      <c r="P118" s="12" t="str">
        <f t="shared" si="11"/>
        <v>Hitano R-06.0x11.0</v>
      </c>
      <c r="Q118" s="12" t="str">
        <f t="shared" si="16"/>
        <v>10µF</v>
      </c>
      <c r="R118" s="12" t="str">
        <f t="shared" si="17"/>
        <v>100v</v>
      </c>
      <c r="S118" s="8" t="str">
        <f t="shared" si="12"/>
        <v>10µF 100v - R06.3-11.0 Hitano (ECR)</v>
      </c>
      <c r="T118" s="8">
        <f t="shared" si="18"/>
        <v>1</v>
      </c>
      <c r="U118" s="8" t="b">
        <f>NOT(ISNA(MATCH($P118,Packages!$A:$A,0)))</f>
        <v>1</v>
      </c>
    </row>
    <row r="119" spans="1:21" hidden="1">
      <c r="A119" s="6" t="s">
        <v>49</v>
      </c>
      <c r="B119" s="6" t="s">
        <v>50</v>
      </c>
      <c r="C119" s="33">
        <v>22</v>
      </c>
      <c r="D119" s="34">
        <v>100</v>
      </c>
      <c r="E119" s="6" t="s">
        <v>69</v>
      </c>
      <c r="F119" s="6" t="s">
        <v>59</v>
      </c>
      <c r="G119" s="6"/>
      <c r="H119" s="7" t="s">
        <v>141</v>
      </c>
      <c r="I119" s="7" t="str">
        <f t="shared" si="19"/>
        <v>HITANO</v>
      </c>
      <c r="J119" s="7" t="str">
        <f t="shared" si="20"/>
        <v>22µF 100v</v>
      </c>
      <c r="K119" s="7"/>
      <c r="L119" s="7" t="str">
        <f t="shared" si="21"/>
        <v>ECR</v>
      </c>
      <c r="M119" s="31">
        <f t="shared" si="13"/>
        <v>6.3</v>
      </c>
      <c r="N119" s="31">
        <f t="shared" si="14"/>
        <v>11</v>
      </c>
      <c r="O119" s="8" t="str">
        <f t="shared" si="15"/>
        <v>Hitano-ECR</v>
      </c>
      <c r="P119" s="12" t="str">
        <f t="shared" si="11"/>
        <v>Hitano R-06.0x11.0</v>
      </c>
      <c r="Q119" s="12" t="str">
        <f t="shared" si="16"/>
        <v>22µF</v>
      </c>
      <c r="R119" s="12" t="str">
        <f t="shared" si="17"/>
        <v>100v</v>
      </c>
      <c r="S119" s="8" t="str">
        <f t="shared" si="12"/>
        <v>22µF 100v - R06.3-11.0 Hitano (ECR)</v>
      </c>
      <c r="T119" s="8">
        <f t="shared" si="18"/>
        <v>1</v>
      </c>
      <c r="U119" s="8" t="b">
        <f>NOT(ISNA(MATCH($P119,Packages!$A:$A,0)))</f>
        <v>1</v>
      </c>
    </row>
    <row r="120" spans="1:21" hidden="1">
      <c r="A120" s="6" t="s">
        <v>49</v>
      </c>
      <c r="B120" s="6" t="s">
        <v>50</v>
      </c>
      <c r="C120" s="33">
        <v>22</v>
      </c>
      <c r="D120" s="34">
        <v>100</v>
      </c>
      <c r="E120" s="6" t="s">
        <v>71</v>
      </c>
      <c r="F120" s="6" t="s">
        <v>59</v>
      </c>
      <c r="G120" s="6"/>
      <c r="H120" s="7" t="s">
        <v>141</v>
      </c>
      <c r="I120" s="7" t="str">
        <f t="shared" si="19"/>
        <v>HITANO</v>
      </c>
      <c r="J120" s="7" t="str">
        <f t="shared" si="20"/>
        <v>22µF 100v</v>
      </c>
      <c r="K120" s="7"/>
      <c r="L120" s="7" t="str">
        <f t="shared" si="21"/>
        <v>ECR</v>
      </c>
      <c r="M120" s="31">
        <f t="shared" si="13"/>
        <v>8</v>
      </c>
      <c r="N120" s="31">
        <f t="shared" si="14"/>
        <v>12</v>
      </c>
      <c r="O120" s="8" t="str">
        <f t="shared" si="15"/>
        <v>Hitano-ECR</v>
      </c>
      <c r="P120" s="12" t="str">
        <f t="shared" si="11"/>
        <v>Hitano R-08.0x12.0</v>
      </c>
      <c r="Q120" s="12" t="str">
        <f t="shared" si="16"/>
        <v>22µF</v>
      </c>
      <c r="R120" s="12" t="str">
        <f t="shared" si="17"/>
        <v>100v</v>
      </c>
      <c r="S120" s="8" t="str">
        <f t="shared" si="12"/>
        <v>22µF 100v - R08.0-12.0 Hitano (ECR)</v>
      </c>
      <c r="T120" s="8">
        <f t="shared" si="18"/>
        <v>1</v>
      </c>
      <c r="U120" s="8" t="b">
        <f>NOT(ISNA(MATCH($P120,Packages!$A:$A,0)))</f>
        <v>1</v>
      </c>
    </row>
    <row r="121" spans="1:21" hidden="1">
      <c r="A121" s="6" t="s">
        <v>49</v>
      </c>
      <c r="B121" s="6" t="s">
        <v>50</v>
      </c>
      <c r="C121" s="33">
        <v>33</v>
      </c>
      <c r="D121" s="34">
        <v>100</v>
      </c>
      <c r="E121" s="6" t="s">
        <v>71</v>
      </c>
      <c r="F121" s="6" t="s">
        <v>59</v>
      </c>
      <c r="G121" s="6"/>
      <c r="H121" s="7" t="s">
        <v>141</v>
      </c>
      <c r="I121" s="7" t="str">
        <f t="shared" si="19"/>
        <v>HITANO</v>
      </c>
      <c r="J121" s="7" t="str">
        <f t="shared" si="20"/>
        <v>33µF 100v</v>
      </c>
      <c r="K121" s="7"/>
      <c r="L121" s="7" t="str">
        <f t="shared" si="21"/>
        <v>ECR</v>
      </c>
      <c r="M121" s="31">
        <f t="shared" si="13"/>
        <v>8</v>
      </c>
      <c r="N121" s="31">
        <f t="shared" si="14"/>
        <v>12</v>
      </c>
      <c r="O121" s="8" t="str">
        <f t="shared" si="15"/>
        <v>Hitano-ECR</v>
      </c>
      <c r="P121" s="12" t="str">
        <f t="shared" si="11"/>
        <v>Hitano R-08.0x12.0</v>
      </c>
      <c r="Q121" s="12" t="str">
        <f t="shared" si="16"/>
        <v>33µF</v>
      </c>
      <c r="R121" s="12" t="str">
        <f t="shared" si="17"/>
        <v>100v</v>
      </c>
      <c r="S121" s="8" t="str">
        <f t="shared" si="12"/>
        <v>33µF 100v - R08.0-12.0 Hitano (ECR)</v>
      </c>
      <c r="T121" s="8">
        <f t="shared" si="18"/>
        <v>1</v>
      </c>
      <c r="U121" s="8" t="b">
        <f>NOT(ISNA(MATCH($P121,Packages!$A:$A,0)))</f>
        <v>1</v>
      </c>
    </row>
    <row r="122" spans="1:21" hidden="1">
      <c r="A122" s="6" t="s">
        <v>49</v>
      </c>
      <c r="B122" s="6" t="s">
        <v>50</v>
      </c>
      <c r="C122" s="33">
        <v>47</v>
      </c>
      <c r="D122" s="34">
        <v>100</v>
      </c>
      <c r="E122" s="6" t="s">
        <v>72</v>
      </c>
      <c r="F122" s="6" t="s">
        <v>59</v>
      </c>
      <c r="G122" s="6"/>
      <c r="H122" s="7" t="s">
        <v>141</v>
      </c>
      <c r="I122" s="7" t="str">
        <f t="shared" si="19"/>
        <v>HITANO</v>
      </c>
      <c r="J122" s="7" t="str">
        <f t="shared" si="20"/>
        <v>47µF 100v</v>
      </c>
      <c r="K122" s="7"/>
      <c r="L122" s="7" t="str">
        <f t="shared" si="21"/>
        <v>ECR</v>
      </c>
      <c r="M122" s="31">
        <f t="shared" si="13"/>
        <v>10</v>
      </c>
      <c r="N122" s="31">
        <f t="shared" si="14"/>
        <v>13</v>
      </c>
      <c r="O122" s="8" t="str">
        <f t="shared" si="15"/>
        <v>Hitano-ECR</v>
      </c>
      <c r="P122" s="12" t="str">
        <f t="shared" si="11"/>
        <v>Hitano R-10.0x13.0</v>
      </c>
      <c r="Q122" s="12" t="str">
        <f t="shared" si="16"/>
        <v>47µF</v>
      </c>
      <c r="R122" s="12" t="str">
        <f t="shared" si="17"/>
        <v>100v</v>
      </c>
      <c r="S122" s="8" t="str">
        <f t="shared" si="12"/>
        <v>47µF 100v - R10.0-13.0 Hitano (ECR)</v>
      </c>
      <c r="T122" s="8">
        <f t="shared" si="18"/>
        <v>1</v>
      </c>
      <c r="U122" s="8" t="b">
        <f>NOT(ISNA(MATCH($P122,Packages!$A:$A,0)))</f>
        <v>1</v>
      </c>
    </row>
    <row r="123" spans="1:21" hidden="1">
      <c r="A123" s="6" t="s">
        <v>49</v>
      </c>
      <c r="B123" s="6" t="s">
        <v>50</v>
      </c>
      <c r="C123" s="33">
        <v>100</v>
      </c>
      <c r="D123" s="34">
        <v>100</v>
      </c>
      <c r="E123" s="6" t="s">
        <v>75</v>
      </c>
      <c r="F123" s="6" t="s">
        <v>59</v>
      </c>
      <c r="G123" s="6"/>
      <c r="H123" s="7" t="s">
        <v>141</v>
      </c>
      <c r="I123" s="7" t="str">
        <f t="shared" si="19"/>
        <v>HITANO</v>
      </c>
      <c r="J123" s="7" t="str">
        <f t="shared" si="20"/>
        <v>100µF 100v</v>
      </c>
      <c r="K123" s="7"/>
      <c r="L123" s="7" t="str">
        <f t="shared" si="21"/>
        <v>ECR</v>
      </c>
      <c r="M123" s="31">
        <f t="shared" si="13"/>
        <v>10</v>
      </c>
      <c r="N123" s="31">
        <f t="shared" si="14"/>
        <v>21</v>
      </c>
      <c r="O123" s="8" t="str">
        <f t="shared" si="15"/>
        <v>Hitano-ECR</v>
      </c>
      <c r="P123" s="12" t="str">
        <f t="shared" si="11"/>
        <v>Hitano R-10.0x21.0</v>
      </c>
      <c r="Q123" s="12" t="str">
        <f t="shared" si="16"/>
        <v>100µF</v>
      </c>
      <c r="R123" s="12" t="str">
        <f t="shared" si="17"/>
        <v>100v</v>
      </c>
      <c r="S123" s="8" t="str">
        <f t="shared" si="12"/>
        <v>100µF 100v - R10.0-21.0 Hitano (ECR)</v>
      </c>
      <c r="T123" s="8">
        <f t="shared" si="18"/>
        <v>1</v>
      </c>
      <c r="U123" s="8" t="b">
        <f>NOT(ISNA(MATCH($P123,Packages!$A:$A,0)))</f>
        <v>1</v>
      </c>
    </row>
    <row r="124" spans="1:21" hidden="1">
      <c r="A124" s="6" t="s">
        <v>49</v>
      </c>
      <c r="B124" s="6" t="s">
        <v>50</v>
      </c>
      <c r="C124" s="33">
        <v>220</v>
      </c>
      <c r="D124" s="34">
        <v>100</v>
      </c>
      <c r="E124" s="6" t="s">
        <v>77</v>
      </c>
      <c r="F124" s="6" t="s">
        <v>59</v>
      </c>
      <c r="G124" s="6"/>
      <c r="H124" s="7" t="s">
        <v>141</v>
      </c>
      <c r="I124" s="7" t="str">
        <f t="shared" si="19"/>
        <v>HITANO</v>
      </c>
      <c r="J124" s="7" t="str">
        <f t="shared" si="20"/>
        <v>220µF 100v</v>
      </c>
      <c r="K124" s="7"/>
      <c r="L124" s="7" t="str">
        <f t="shared" si="21"/>
        <v>ECR</v>
      </c>
      <c r="M124" s="31">
        <f t="shared" si="13"/>
        <v>13</v>
      </c>
      <c r="N124" s="31">
        <f t="shared" si="14"/>
        <v>26</v>
      </c>
      <c r="O124" s="8" t="str">
        <f t="shared" si="15"/>
        <v>Hitano-ECR</v>
      </c>
      <c r="P124" s="12" t="str">
        <f t="shared" si="11"/>
        <v>Hitano R-13.0x26.0</v>
      </c>
      <c r="Q124" s="12" t="str">
        <f t="shared" si="16"/>
        <v>220µF</v>
      </c>
      <c r="R124" s="12" t="str">
        <f t="shared" si="17"/>
        <v>100v</v>
      </c>
      <c r="S124" s="8" t="str">
        <f t="shared" si="12"/>
        <v>220µF 100v - R13.0-26.0 Hitano (ECR)</v>
      </c>
      <c r="T124" s="8">
        <f t="shared" si="18"/>
        <v>1</v>
      </c>
      <c r="U124" s="8" t="b">
        <f>NOT(ISNA(MATCH($P124,Packages!$A:$A,0)))</f>
        <v>1</v>
      </c>
    </row>
    <row r="125" spans="1:21" hidden="1">
      <c r="A125" s="6" t="s">
        <v>49</v>
      </c>
      <c r="B125" s="6" t="s">
        <v>50</v>
      </c>
      <c r="C125" s="33">
        <v>330</v>
      </c>
      <c r="D125" s="34">
        <v>100</v>
      </c>
      <c r="E125" s="6" t="s">
        <v>78</v>
      </c>
      <c r="F125" s="6" t="s">
        <v>59</v>
      </c>
      <c r="G125" s="6"/>
      <c r="H125" s="7" t="s">
        <v>141</v>
      </c>
      <c r="I125" s="7" t="str">
        <f t="shared" si="19"/>
        <v>HITANO</v>
      </c>
      <c r="J125" s="7" t="str">
        <f t="shared" si="20"/>
        <v>330µF 100v</v>
      </c>
      <c r="K125" s="7"/>
      <c r="L125" s="7" t="str">
        <f t="shared" si="21"/>
        <v>ECR</v>
      </c>
      <c r="M125" s="31">
        <f t="shared" si="13"/>
        <v>16</v>
      </c>
      <c r="N125" s="31">
        <f t="shared" si="14"/>
        <v>26</v>
      </c>
      <c r="O125" s="8" t="str">
        <f t="shared" si="15"/>
        <v>Hitano-ECR</v>
      </c>
      <c r="P125" s="12" t="str">
        <f t="shared" si="11"/>
        <v>Hitano R-16.0x26.0</v>
      </c>
      <c r="Q125" s="12" t="str">
        <f t="shared" si="16"/>
        <v>330µF</v>
      </c>
      <c r="R125" s="12" t="str">
        <f t="shared" si="17"/>
        <v>100v</v>
      </c>
      <c r="S125" s="8" t="str">
        <f t="shared" si="12"/>
        <v>330µF 100v - R16.0-26.0 Hitano (ECR)</v>
      </c>
      <c r="T125" s="8">
        <f t="shared" si="18"/>
        <v>1</v>
      </c>
      <c r="U125" s="8" t="b">
        <f>NOT(ISNA(MATCH($P125,Packages!$A:$A,0)))</f>
        <v>1</v>
      </c>
    </row>
    <row r="126" spans="1:21" hidden="1">
      <c r="A126" s="6" t="s">
        <v>49</v>
      </c>
      <c r="B126" s="6" t="s">
        <v>50</v>
      </c>
      <c r="C126" s="33">
        <v>470</v>
      </c>
      <c r="D126" s="34">
        <v>100</v>
      </c>
      <c r="E126" s="6" t="s">
        <v>78</v>
      </c>
      <c r="F126" s="6" t="s">
        <v>59</v>
      </c>
      <c r="G126" s="6"/>
      <c r="H126" s="7" t="s">
        <v>141</v>
      </c>
      <c r="I126" s="7" t="str">
        <f t="shared" si="19"/>
        <v>HITANO</v>
      </c>
      <c r="J126" s="7" t="str">
        <f t="shared" si="20"/>
        <v>470µF 100v</v>
      </c>
      <c r="K126" s="7"/>
      <c r="L126" s="7" t="str">
        <f t="shared" si="21"/>
        <v>ECR</v>
      </c>
      <c r="M126" s="31">
        <f t="shared" si="13"/>
        <v>16</v>
      </c>
      <c r="N126" s="31">
        <f t="shared" si="14"/>
        <v>26</v>
      </c>
      <c r="O126" s="8" t="str">
        <f t="shared" si="15"/>
        <v>Hitano-ECR</v>
      </c>
      <c r="P126" s="12" t="str">
        <f t="shared" si="11"/>
        <v>Hitano R-16.0x26.0</v>
      </c>
      <c r="Q126" s="12" t="str">
        <f t="shared" si="16"/>
        <v>470µF</v>
      </c>
      <c r="R126" s="12" t="str">
        <f t="shared" si="17"/>
        <v>100v</v>
      </c>
      <c r="S126" s="8" t="str">
        <f t="shared" si="12"/>
        <v>470µF 100v - R16.0-26.0 Hitano (ECR)</v>
      </c>
      <c r="T126" s="8">
        <f t="shared" si="18"/>
        <v>1</v>
      </c>
      <c r="U126" s="8" t="b">
        <f>NOT(ISNA(MATCH($P126,Packages!$A:$A,0)))</f>
        <v>1</v>
      </c>
    </row>
    <row r="127" spans="1:21" hidden="1">
      <c r="A127" s="6" t="s">
        <v>49</v>
      </c>
      <c r="B127" s="6" t="s">
        <v>50</v>
      </c>
      <c r="C127" s="33">
        <v>1000</v>
      </c>
      <c r="D127" s="34">
        <v>100</v>
      </c>
      <c r="E127" s="6" t="s">
        <v>84</v>
      </c>
      <c r="F127" s="6" t="s">
        <v>59</v>
      </c>
      <c r="G127" s="6"/>
      <c r="H127" s="7" t="s">
        <v>141</v>
      </c>
      <c r="I127" s="7" t="str">
        <f t="shared" si="19"/>
        <v>HITANO</v>
      </c>
      <c r="J127" s="7" t="str">
        <f t="shared" si="20"/>
        <v>1000µF 100v</v>
      </c>
      <c r="K127" s="7"/>
      <c r="L127" s="7" t="str">
        <f t="shared" si="21"/>
        <v>ECR</v>
      </c>
      <c r="M127" s="31">
        <f t="shared" si="13"/>
        <v>18</v>
      </c>
      <c r="N127" s="31">
        <f t="shared" si="14"/>
        <v>41</v>
      </c>
      <c r="O127" s="8" t="str">
        <f t="shared" si="15"/>
        <v>Hitano-ECR</v>
      </c>
      <c r="P127" s="12" t="str">
        <f t="shared" si="11"/>
        <v>Hitano R-18.0x41.0</v>
      </c>
      <c r="Q127" s="12" t="str">
        <f t="shared" si="16"/>
        <v>1000µF</v>
      </c>
      <c r="R127" s="12" t="str">
        <f t="shared" si="17"/>
        <v>100v</v>
      </c>
      <c r="S127" s="8" t="str">
        <f t="shared" si="12"/>
        <v>1000µF 100v - R18.0-41.0 Hitano (ECR)</v>
      </c>
      <c r="T127" s="8">
        <f t="shared" si="18"/>
        <v>1</v>
      </c>
      <c r="U127" s="8" t="b">
        <f>NOT(ISNA(MATCH($P127,Packages!$A:$A,0)))</f>
        <v>1</v>
      </c>
    </row>
    <row r="128" spans="1:21" hidden="1">
      <c r="A128" s="6" t="s">
        <v>49</v>
      </c>
      <c r="B128" s="6" t="s">
        <v>50</v>
      </c>
      <c r="C128" s="33">
        <v>0.47</v>
      </c>
      <c r="D128" s="34">
        <v>160</v>
      </c>
      <c r="E128" s="6" t="s">
        <v>68</v>
      </c>
      <c r="F128" s="6" t="s">
        <v>59</v>
      </c>
      <c r="G128" s="6"/>
      <c r="H128" s="7" t="s">
        <v>141</v>
      </c>
      <c r="I128" s="7" t="str">
        <f t="shared" si="19"/>
        <v>HITANO</v>
      </c>
      <c r="J128" s="7" t="str">
        <f t="shared" si="20"/>
        <v>0.47µF 160v</v>
      </c>
      <c r="K128" s="7"/>
      <c r="L128" s="7" t="str">
        <f t="shared" si="21"/>
        <v>ECR</v>
      </c>
      <c r="M128" s="31">
        <f t="shared" si="13"/>
        <v>5</v>
      </c>
      <c r="N128" s="31">
        <f t="shared" si="14"/>
        <v>11</v>
      </c>
      <c r="O128" s="8" t="str">
        <f t="shared" si="15"/>
        <v>Hitano-ECR</v>
      </c>
      <c r="P128" s="12" t="str">
        <f t="shared" si="11"/>
        <v>Hitano R-05.0x11.0</v>
      </c>
      <c r="Q128" s="12" t="str">
        <f t="shared" si="16"/>
        <v>0.47µF</v>
      </c>
      <c r="R128" s="12" t="str">
        <f t="shared" si="17"/>
        <v>160v</v>
      </c>
      <c r="S128" s="8" t="str">
        <f t="shared" si="12"/>
        <v>0.47µF 160v - R05.0-11.0 Hitano (ECR)</v>
      </c>
      <c r="T128" s="8">
        <f t="shared" si="18"/>
        <v>1</v>
      </c>
      <c r="U128" s="8" t="b">
        <f>NOT(ISNA(MATCH($P128,Packages!$A:$A,0)))</f>
        <v>1</v>
      </c>
    </row>
    <row r="129" spans="1:21" hidden="1">
      <c r="A129" s="6" t="s">
        <v>49</v>
      </c>
      <c r="B129" s="6" t="s">
        <v>50</v>
      </c>
      <c r="C129" s="33">
        <v>1</v>
      </c>
      <c r="D129" s="34">
        <v>160</v>
      </c>
      <c r="E129" s="6" t="s">
        <v>68</v>
      </c>
      <c r="F129" s="6" t="s">
        <v>59</v>
      </c>
      <c r="G129" s="6"/>
      <c r="H129" s="7" t="s">
        <v>141</v>
      </c>
      <c r="I129" s="7" t="str">
        <f t="shared" si="19"/>
        <v>HITANO</v>
      </c>
      <c r="J129" s="7" t="str">
        <f t="shared" si="20"/>
        <v>1µF 160v</v>
      </c>
      <c r="K129" s="7"/>
      <c r="L129" s="7" t="str">
        <f t="shared" si="21"/>
        <v>ECR</v>
      </c>
      <c r="M129" s="31">
        <f t="shared" si="13"/>
        <v>5</v>
      </c>
      <c r="N129" s="31">
        <f t="shared" si="14"/>
        <v>11</v>
      </c>
      <c r="O129" s="8" t="str">
        <f t="shared" si="15"/>
        <v>Hitano-ECR</v>
      </c>
      <c r="P129" s="12" t="str">
        <f t="shared" si="11"/>
        <v>Hitano R-05.0x11.0</v>
      </c>
      <c r="Q129" s="12" t="str">
        <f t="shared" si="16"/>
        <v>1µF</v>
      </c>
      <c r="R129" s="12" t="str">
        <f t="shared" si="17"/>
        <v>160v</v>
      </c>
      <c r="S129" s="8" t="str">
        <f t="shared" si="12"/>
        <v>1µF 160v - R05.0-11.0 Hitano (ECR)</v>
      </c>
      <c r="T129" s="8">
        <f t="shared" si="18"/>
        <v>1</v>
      </c>
      <c r="U129" s="8" t="b">
        <f>NOT(ISNA(MATCH($P129,Packages!$A:$A,0)))</f>
        <v>1</v>
      </c>
    </row>
    <row r="130" spans="1:21" hidden="1">
      <c r="A130" s="6" t="s">
        <v>49</v>
      </c>
      <c r="B130" s="6" t="s">
        <v>50</v>
      </c>
      <c r="C130" s="33">
        <v>2.2000000000000002</v>
      </c>
      <c r="D130" s="34">
        <v>160</v>
      </c>
      <c r="E130" s="6" t="s">
        <v>69</v>
      </c>
      <c r="F130" s="6" t="s">
        <v>59</v>
      </c>
      <c r="G130" s="6"/>
      <c r="H130" s="7" t="s">
        <v>141</v>
      </c>
      <c r="I130" s="7" t="str">
        <f t="shared" si="19"/>
        <v>HITANO</v>
      </c>
      <c r="J130" s="7" t="str">
        <f t="shared" si="20"/>
        <v>2.2µF 160v</v>
      </c>
      <c r="K130" s="7"/>
      <c r="L130" s="7" t="str">
        <f t="shared" si="21"/>
        <v>ECR</v>
      </c>
      <c r="M130" s="31">
        <f t="shared" si="13"/>
        <v>6.3</v>
      </c>
      <c r="N130" s="31">
        <f t="shared" si="14"/>
        <v>11</v>
      </c>
      <c r="O130" s="8" t="str">
        <f t="shared" si="15"/>
        <v>Hitano-ECR</v>
      </c>
      <c r="P130" s="12" t="str">
        <f t="shared" ref="P130:P193" si="22">$A130&amp;" "&amp;LEFT($F130,1)&amp;"-"&amp;TEXT(ROUND($M130,0),"00.0")&amp;"x"&amp;TEXT(ROUND($N130,0),"00.0")</f>
        <v>Hitano R-06.0x11.0</v>
      </c>
      <c r="Q130" s="12" t="str">
        <f t="shared" si="16"/>
        <v>2.2µF</v>
      </c>
      <c r="R130" s="12" t="str">
        <f t="shared" si="17"/>
        <v>160v</v>
      </c>
      <c r="S130" s="8" t="str">
        <f t="shared" ref="S130:S193" si="23">$Q130&amp;" "&amp;$R130&amp;" - "&amp;LEFT($F130,1)&amp;TEXT($M130,"00.0")&amp;"-"&amp;TEXT($N130,"00.0")&amp;" "&amp;A130&amp;" ("&amp;B130&amp;")"&amp;IF(ISBLANK($G130),""," "&amp;$G130)</f>
        <v>2.2µF 160v - R06.3-11.0 Hitano (ECR)</v>
      </c>
      <c r="T130" s="8">
        <f t="shared" si="18"/>
        <v>1</v>
      </c>
      <c r="U130" s="8" t="b">
        <f>NOT(ISNA(MATCH($P130,Packages!$A:$A,0)))</f>
        <v>1</v>
      </c>
    </row>
    <row r="131" spans="1:21" hidden="1">
      <c r="A131" s="6" t="s">
        <v>49</v>
      </c>
      <c r="B131" s="6" t="s">
        <v>50</v>
      </c>
      <c r="C131" s="33">
        <v>3.3</v>
      </c>
      <c r="D131" s="34">
        <v>160</v>
      </c>
      <c r="E131" s="6" t="s">
        <v>69</v>
      </c>
      <c r="F131" s="6" t="s">
        <v>59</v>
      </c>
      <c r="G131" s="6"/>
      <c r="H131" s="7" t="s">
        <v>141</v>
      </c>
      <c r="I131" s="7" t="str">
        <f t="shared" si="19"/>
        <v>HITANO</v>
      </c>
      <c r="J131" s="7" t="str">
        <f t="shared" si="20"/>
        <v>3.3µF 160v</v>
      </c>
      <c r="K131" s="7"/>
      <c r="L131" s="7" t="str">
        <f t="shared" si="21"/>
        <v>ECR</v>
      </c>
      <c r="M131" s="31">
        <f t="shared" ref="M131:M194" si="24">VALUE(LEFT($E131,SEARCH("x",$E131)-1))</f>
        <v>6.3</v>
      </c>
      <c r="N131" s="31">
        <f t="shared" ref="N131:N194" si="25">VALUE(RIGHT($E131,LEN($E131)-SEARCH("x",$E131)))</f>
        <v>11</v>
      </c>
      <c r="O131" s="8" t="str">
        <f t="shared" ref="O131:O194" si="26">$A131&amp;"-"&amp;$B131</f>
        <v>Hitano-ECR</v>
      </c>
      <c r="P131" s="12" t="str">
        <f t="shared" si="22"/>
        <v>Hitano R-06.0x11.0</v>
      </c>
      <c r="Q131" s="12" t="str">
        <f t="shared" ref="Q131:Q194" si="27">TEXT($C131,"General"&amp;CHAR(34)&amp;"µF"&amp;CHAR(34))</f>
        <v>3.3µF</v>
      </c>
      <c r="R131" s="12" t="str">
        <f t="shared" ref="R131:R194" si="28">TEXT($D131,"General"&amp;CHAR(34)&amp;"v"&amp;CHAR(34))</f>
        <v>160v</v>
      </c>
      <c r="S131" s="8" t="str">
        <f t="shared" si="23"/>
        <v>3.3µF 160v - R06.3-11.0 Hitano (ECR)</v>
      </c>
      <c r="T131" s="8">
        <f t="shared" ref="T131:T194" si="29">COUNTIF($S:$S,$S131)</f>
        <v>1</v>
      </c>
      <c r="U131" s="8" t="b">
        <f>NOT(ISNA(MATCH($P131,Packages!$A:$A,0)))</f>
        <v>1</v>
      </c>
    </row>
    <row r="132" spans="1:21" hidden="1">
      <c r="A132" s="6" t="s">
        <v>49</v>
      </c>
      <c r="B132" s="6" t="s">
        <v>50</v>
      </c>
      <c r="C132" s="33">
        <v>4.7</v>
      </c>
      <c r="D132" s="34">
        <v>160</v>
      </c>
      <c r="E132" s="6" t="s">
        <v>71</v>
      </c>
      <c r="F132" s="6" t="s">
        <v>59</v>
      </c>
      <c r="G132" s="6"/>
      <c r="H132" s="7" t="s">
        <v>141</v>
      </c>
      <c r="I132" s="7" t="str">
        <f t="shared" ref="I132:I195" si="30">UPPER($A132)</f>
        <v>HITANO</v>
      </c>
      <c r="J132" s="7" t="str">
        <f t="shared" ref="J132:J195" si="31">$Q132&amp;" "&amp;$R132</f>
        <v>4.7µF 160v</v>
      </c>
      <c r="K132" s="7"/>
      <c r="L132" s="7" t="str">
        <f t="shared" ref="L132:L195" si="32">$B132</f>
        <v>ECR</v>
      </c>
      <c r="M132" s="31">
        <f t="shared" si="24"/>
        <v>8</v>
      </c>
      <c r="N132" s="31">
        <f t="shared" si="25"/>
        <v>12</v>
      </c>
      <c r="O132" s="8" t="str">
        <f t="shared" si="26"/>
        <v>Hitano-ECR</v>
      </c>
      <c r="P132" s="12" t="str">
        <f t="shared" si="22"/>
        <v>Hitano R-08.0x12.0</v>
      </c>
      <c r="Q132" s="12" t="str">
        <f t="shared" si="27"/>
        <v>4.7µF</v>
      </c>
      <c r="R132" s="12" t="str">
        <f t="shared" si="28"/>
        <v>160v</v>
      </c>
      <c r="S132" s="8" t="str">
        <f t="shared" si="23"/>
        <v>4.7µF 160v - R08.0-12.0 Hitano (ECR)</v>
      </c>
      <c r="T132" s="8">
        <f t="shared" si="29"/>
        <v>1</v>
      </c>
      <c r="U132" s="8" t="b">
        <f>NOT(ISNA(MATCH($P132,Packages!$A:$A,0)))</f>
        <v>1</v>
      </c>
    </row>
    <row r="133" spans="1:21" hidden="1">
      <c r="A133" s="6" t="s">
        <v>49</v>
      </c>
      <c r="B133" s="6" t="s">
        <v>50</v>
      </c>
      <c r="C133" s="33">
        <v>10</v>
      </c>
      <c r="D133" s="34">
        <v>160</v>
      </c>
      <c r="E133" s="6" t="s">
        <v>71</v>
      </c>
      <c r="F133" s="6" t="s">
        <v>59</v>
      </c>
      <c r="G133" s="6"/>
      <c r="H133" s="7" t="s">
        <v>141</v>
      </c>
      <c r="I133" s="7" t="str">
        <f t="shared" si="30"/>
        <v>HITANO</v>
      </c>
      <c r="J133" s="7" t="str">
        <f t="shared" si="31"/>
        <v>10µF 160v</v>
      </c>
      <c r="K133" s="7"/>
      <c r="L133" s="7" t="str">
        <f t="shared" si="32"/>
        <v>ECR</v>
      </c>
      <c r="M133" s="31">
        <f t="shared" si="24"/>
        <v>8</v>
      </c>
      <c r="N133" s="31">
        <f t="shared" si="25"/>
        <v>12</v>
      </c>
      <c r="O133" s="8" t="str">
        <f t="shared" si="26"/>
        <v>Hitano-ECR</v>
      </c>
      <c r="P133" s="12" t="str">
        <f t="shared" si="22"/>
        <v>Hitano R-08.0x12.0</v>
      </c>
      <c r="Q133" s="12" t="str">
        <f t="shared" si="27"/>
        <v>10µF</v>
      </c>
      <c r="R133" s="12" t="str">
        <f t="shared" si="28"/>
        <v>160v</v>
      </c>
      <c r="S133" s="8" t="str">
        <f t="shared" si="23"/>
        <v>10µF 160v - R08.0-12.0 Hitano (ECR)</v>
      </c>
      <c r="T133" s="8">
        <f t="shared" si="29"/>
        <v>1</v>
      </c>
      <c r="U133" s="8" t="b">
        <f>NOT(ISNA(MATCH($P133,Packages!$A:$A,0)))</f>
        <v>1</v>
      </c>
    </row>
    <row r="134" spans="1:21" hidden="1">
      <c r="A134" s="6" t="s">
        <v>49</v>
      </c>
      <c r="B134" s="6" t="s">
        <v>50</v>
      </c>
      <c r="C134" s="33">
        <v>10</v>
      </c>
      <c r="D134" s="34">
        <v>160</v>
      </c>
      <c r="E134" s="6" t="s">
        <v>72</v>
      </c>
      <c r="F134" s="6" t="s">
        <v>59</v>
      </c>
      <c r="G134" s="6"/>
      <c r="H134" s="7" t="s">
        <v>141</v>
      </c>
      <c r="I134" s="7" t="str">
        <f t="shared" si="30"/>
        <v>HITANO</v>
      </c>
      <c r="J134" s="7" t="str">
        <f t="shared" si="31"/>
        <v>10µF 160v</v>
      </c>
      <c r="K134" s="7"/>
      <c r="L134" s="7" t="str">
        <f t="shared" si="32"/>
        <v>ECR</v>
      </c>
      <c r="M134" s="31">
        <f t="shared" si="24"/>
        <v>10</v>
      </c>
      <c r="N134" s="31">
        <f t="shared" si="25"/>
        <v>13</v>
      </c>
      <c r="O134" s="8" t="str">
        <f t="shared" si="26"/>
        <v>Hitano-ECR</v>
      </c>
      <c r="P134" s="12" t="str">
        <f t="shared" si="22"/>
        <v>Hitano R-10.0x13.0</v>
      </c>
      <c r="Q134" s="12" t="str">
        <f t="shared" si="27"/>
        <v>10µF</v>
      </c>
      <c r="R134" s="12" t="str">
        <f t="shared" si="28"/>
        <v>160v</v>
      </c>
      <c r="S134" s="8" t="str">
        <f t="shared" si="23"/>
        <v>10µF 160v - R10.0-13.0 Hitano (ECR)</v>
      </c>
      <c r="T134" s="8">
        <f t="shared" si="29"/>
        <v>1</v>
      </c>
      <c r="U134" s="8" t="b">
        <f>NOT(ISNA(MATCH($P134,Packages!$A:$A,0)))</f>
        <v>1</v>
      </c>
    </row>
    <row r="135" spans="1:21" hidden="1">
      <c r="A135" s="6" t="s">
        <v>49</v>
      </c>
      <c r="B135" s="6" t="s">
        <v>50</v>
      </c>
      <c r="C135" s="33">
        <v>22</v>
      </c>
      <c r="D135" s="34">
        <v>160</v>
      </c>
      <c r="E135" s="6" t="s">
        <v>74</v>
      </c>
      <c r="F135" s="6" t="s">
        <v>59</v>
      </c>
      <c r="G135" s="6"/>
      <c r="H135" s="7" t="s">
        <v>141</v>
      </c>
      <c r="I135" s="7" t="str">
        <f t="shared" si="30"/>
        <v>HITANO</v>
      </c>
      <c r="J135" s="7" t="str">
        <f t="shared" si="31"/>
        <v>22µF 160v</v>
      </c>
      <c r="K135" s="7"/>
      <c r="L135" s="7" t="str">
        <f t="shared" si="32"/>
        <v>ECR</v>
      </c>
      <c r="M135" s="31">
        <f t="shared" si="24"/>
        <v>10</v>
      </c>
      <c r="N135" s="31">
        <f t="shared" si="25"/>
        <v>16</v>
      </c>
      <c r="O135" s="8" t="str">
        <f t="shared" si="26"/>
        <v>Hitano-ECR</v>
      </c>
      <c r="P135" s="12" t="str">
        <f t="shared" si="22"/>
        <v>Hitano R-10.0x16.0</v>
      </c>
      <c r="Q135" s="12" t="str">
        <f t="shared" si="27"/>
        <v>22µF</v>
      </c>
      <c r="R135" s="12" t="str">
        <f t="shared" si="28"/>
        <v>160v</v>
      </c>
      <c r="S135" s="8" t="str">
        <f t="shared" si="23"/>
        <v>22µF 160v - R10.0-16.0 Hitano (ECR)</v>
      </c>
      <c r="T135" s="8">
        <f t="shared" si="29"/>
        <v>1</v>
      </c>
      <c r="U135" s="8" t="b">
        <f>NOT(ISNA(MATCH($P135,Packages!$A:$A,0)))</f>
        <v>1</v>
      </c>
    </row>
    <row r="136" spans="1:21" hidden="1">
      <c r="A136" s="6" t="s">
        <v>49</v>
      </c>
      <c r="B136" s="6" t="s">
        <v>50</v>
      </c>
      <c r="C136" s="33">
        <v>33</v>
      </c>
      <c r="D136" s="34">
        <v>160</v>
      </c>
      <c r="E136" s="6" t="s">
        <v>75</v>
      </c>
      <c r="F136" s="6" t="s">
        <v>59</v>
      </c>
      <c r="G136" s="6"/>
      <c r="H136" s="7" t="s">
        <v>141</v>
      </c>
      <c r="I136" s="7" t="str">
        <f t="shared" si="30"/>
        <v>HITANO</v>
      </c>
      <c r="J136" s="7" t="str">
        <f t="shared" si="31"/>
        <v>33µF 160v</v>
      </c>
      <c r="K136" s="7"/>
      <c r="L136" s="7" t="str">
        <f t="shared" si="32"/>
        <v>ECR</v>
      </c>
      <c r="M136" s="31">
        <f t="shared" si="24"/>
        <v>10</v>
      </c>
      <c r="N136" s="31">
        <f t="shared" si="25"/>
        <v>21</v>
      </c>
      <c r="O136" s="8" t="str">
        <f t="shared" si="26"/>
        <v>Hitano-ECR</v>
      </c>
      <c r="P136" s="12" t="str">
        <f t="shared" si="22"/>
        <v>Hitano R-10.0x21.0</v>
      </c>
      <c r="Q136" s="12" t="str">
        <f t="shared" si="27"/>
        <v>33µF</v>
      </c>
      <c r="R136" s="12" t="str">
        <f t="shared" si="28"/>
        <v>160v</v>
      </c>
      <c r="S136" s="8" t="str">
        <f t="shared" si="23"/>
        <v>33µF 160v - R10.0-21.0 Hitano (ECR)</v>
      </c>
      <c r="T136" s="8">
        <f t="shared" si="29"/>
        <v>1</v>
      </c>
      <c r="U136" s="8" t="b">
        <f>NOT(ISNA(MATCH($P136,Packages!$A:$A,0)))</f>
        <v>1</v>
      </c>
    </row>
    <row r="137" spans="1:21" hidden="1">
      <c r="A137" s="6" t="s">
        <v>49</v>
      </c>
      <c r="B137" s="6" t="s">
        <v>50</v>
      </c>
      <c r="C137" s="33">
        <v>47</v>
      </c>
      <c r="D137" s="34">
        <v>160</v>
      </c>
      <c r="E137" s="6" t="s">
        <v>76</v>
      </c>
      <c r="F137" s="6" t="s">
        <v>59</v>
      </c>
      <c r="G137" s="6"/>
      <c r="H137" s="7" t="s">
        <v>141</v>
      </c>
      <c r="I137" s="7" t="str">
        <f t="shared" si="30"/>
        <v>HITANO</v>
      </c>
      <c r="J137" s="7" t="str">
        <f t="shared" si="31"/>
        <v>47µF 160v</v>
      </c>
      <c r="K137" s="7"/>
      <c r="L137" s="7" t="str">
        <f t="shared" si="32"/>
        <v>ECR</v>
      </c>
      <c r="M137" s="31">
        <f t="shared" si="24"/>
        <v>13</v>
      </c>
      <c r="N137" s="31">
        <f t="shared" si="25"/>
        <v>21</v>
      </c>
      <c r="O137" s="8" t="str">
        <f t="shared" si="26"/>
        <v>Hitano-ECR</v>
      </c>
      <c r="P137" s="12" t="str">
        <f t="shared" si="22"/>
        <v>Hitano R-13.0x21.0</v>
      </c>
      <c r="Q137" s="12" t="str">
        <f t="shared" si="27"/>
        <v>47µF</v>
      </c>
      <c r="R137" s="12" t="str">
        <f t="shared" si="28"/>
        <v>160v</v>
      </c>
      <c r="S137" s="8" t="str">
        <f t="shared" si="23"/>
        <v>47µF 160v - R13.0-21.0 Hitano (ECR)</v>
      </c>
      <c r="T137" s="8">
        <f t="shared" si="29"/>
        <v>1</v>
      </c>
      <c r="U137" s="8" t="b">
        <f>NOT(ISNA(MATCH($P137,Packages!$A:$A,0)))</f>
        <v>1</v>
      </c>
    </row>
    <row r="138" spans="1:21" hidden="1">
      <c r="A138" s="6" t="s">
        <v>49</v>
      </c>
      <c r="B138" s="6" t="s">
        <v>50</v>
      </c>
      <c r="C138" s="33">
        <v>100</v>
      </c>
      <c r="D138" s="34">
        <v>160</v>
      </c>
      <c r="E138" s="6" t="s">
        <v>77</v>
      </c>
      <c r="F138" s="6" t="s">
        <v>59</v>
      </c>
      <c r="G138" s="6"/>
      <c r="H138" s="7" t="s">
        <v>141</v>
      </c>
      <c r="I138" s="7" t="str">
        <f t="shared" si="30"/>
        <v>HITANO</v>
      </c>
      <c r="J138" s="7" t="str">
        <f t="shared" si="31"/>
        <v>100µF 160v</v>
      </c>
      <c r="K138" s="7"/>
      <c r="L138" s="7" t="str">
        <f t="shared" si="32"/>
        <v>ECR</v>
      </c>
      <c r="M138" s="31">
        <f t="shared" si="24"/>
        <v>13</v>
      </c>
      <c r="N138" s="31">
        <f t="shared" si="25"/>
        <v>26</v>
      </c>
      <c r="O138" s="8" t="str">
        <f t="shared" si="26"/>
        <v>Hitano-ECR</v>
      </c>
      <c r="P138" s="12" t="str">
        <f t="shared" si="22"/>
        <v>Hitano R-13.0x26.0</v>
      </c>
      <c r="Q138" s="12" t="str">
        <f t="shared" si="27"/>
        <v>100µF</v>
      </c>
      <c r="R138" s="12" t="str">
        <f t="shared" si="28"/>
        <v>160v</v>
      </c>
      <c r="S138" s="8" t="str">
        <f t="shared" si="23"/>
        <v>100µF 160v - R13.0-26.0 Hitano (ECR)</v>
      </c>
      <c r="T138" s="8">
        <f t="shared" si="29"/>
        <v>1</v>
      </c>
      <c r="U138" s="8" t="b">
        <f>NOT(ISNA(MATCH($P138,Packages!$A:$A,0)))</f>
        <v>1</v>
      </c>
    </row>
    <row r="139" spans="1:21" hidden="1">
      <c r="A139" s="6" t="s">
        <v>49</v>
      </c>
      <c r="B139" s="6" t="s">
        <v>50</v>
      </c>
      <c r="C139" s="33">
        <v>100</v>
      </c>
      <c r="D139" s="34">
        <v>160</v>
      </c>
      <c r="E139" s="6" t="s">
        <v>78</v>
      </c>
      <c r="F139" s="6" t="s">
        <v>59</v>
      </c>
      <c r="G139" s="6"/>
      <c r="H139" s="7" t="s">
        <v>141</v>
      </c>
      <c r="I139" s="7" t="str">
        <f t="shared" si="30"/>
        <v>HITANO</v>
      </c>
      <c r="J139" s="7" t="str">
        <f t="shared" si="31"/>
        <v>100µF 160v</v>
      </c>
      <c r="K139" s="7"/>
      <c r="L139" s="7" t="str">
        <f t="shared" si="32"/>
        <v>ECR</v>
      </c>
      <c r="M139" s="31">
        <f t="shared" si="24"/>
        <v>16</v>
      </c>
      <c r="N139" s="31">
        <f t="shared" si="25"/>
        <v>26</v>
      </c>
      <c r="O139" s="8" t="str">
        <f t="shared" si="26"/>
        <v>Hitano-ECR</v>
      </c>
      <c r="P139" s="12" t="str">
        <f t="shared" si="22"/>
        <v>Hitano R-16.0x26.0</v>
      </c>
      <c r="Q139" s="12" t="str">
        <f t="shared" si="27"/>
        <v>100µF</v>
      </c>
      <c r="R139" s="12" t="str">
        <f t="shared" si="28"/>
        <v>160v</v>
      </c>
      <c r="S139" s="8" t="str">
        <f t="shared" si="23"/>
        <v>100µF 160v - R16.0-26.0 Hitano (ECR)</v>
      </c>
      <c r="T139" s="8">
        <f t="shared" si="29"/>
        <v>1</v>
      </c>
      <c r="U139" s="8" t="b">
        <f>NOT(ISNA(MATCH($P139,Packages!$A:$A,0)))</f>
        <v>1</v>
      </c>
    </row>
    <row r="140" spans="1:21" hidden="1">
      <c r="A140" s="6" t="s">
        <v>49</v>
      </c>
      <c r="B140" s="6" t="s">
        <v>50</v>
      </c>
      <c r="C140" s="33">
        <v>220</v>
      </c>
      <c r="D140" s="34">
        <v>160</v>
      </c>
      <c r="E140" s="6" t="s">
        <v>79</v>
      </c>
      <c r="F140" s="6" t="s">
        <v>59</v>
      </c>
      <c r="G140" s="6"/>
      <c r="H140" s="7" t="s">
        <v>141</v>
      </c>
      <c r="I140" s="7" t="str">
        <f t="shared" si="30"/>
        <v>HITANO</v>
      </c>
      <c r="J140" s="7" t="str">
        <f t="shared" si="31"/>
        <v>220µF 160v</v>
      </c>
      <c r="K140" s="7"/>
      <c r="L140" s="7" t="str">
        <f t="shared" si="32"/>
        <v>ECR</v>
      </c>
      <c r="M140" s="31">
        <f t="shared" si="24"/>
        <v>16</v>
      </c>
      <c r="N140" s="31">
        <f t="shared" si="25"/>
        <v>36</v>
      </c>
      <c r="O140" s="8" t="str">
        <f t="shared" si="26"/>
        <v>Hitano-ECR</v>
      </c>
      <c r="P140" s="12" t="str">
        <f t="shared" si="22"/>
        <v>Hitano R-16.0x36.0</v>
      </c>
      <c r="Q140" s="12" t="str">
        <f t="shared" si="27"/>
        <v>220µF</v>
      </c>
      <c r="R140" s="12" t="str">
        <f t="shared" si="28"/>
        <v>160v</v>
      </c>
      <c r="S140" s="8" t="str">
        <f t="shared" si="23"/>
        <v>220µF 160v - R16.0-36.0 Hitano (ECR)</v>
      </c>
      <c r="T140" s="8">
        <f t="shared" si="29"/>
        <v>1</v>
      </c>
      <c r="U140" s="8" t="b">
        <f>NOT(ISNA(MATCH($P140,Packages!$A:$A,0)))</f>
        <v>1</v>
      </c>
    </row>
    <row r="141" spans="1:21" hidden="1">
      <c r="A141" s="6" t="s">
        <v>49</v>
      </c>
      <c r="B141" s="6" t="s">
        <v>50</v>
      </c>
      <c r="C141" s="33">
        <v>330</v>
      </c>
      <c r="D141" s="34">
        <v>160</v>
      </c>
      <c r="E141" s="6" t="s">
        <v>84</v>
      </c>
      <c r="F141" s="6" t="s">
        <v>59</v>
      </c>
      <c r="G141" s="6"/>
      <c r="H141" s="7" t="s">
        <v>141</v>
      </c>
      <c r="I141" s="7" t="str">
        <f t="shared" si="30"/>
        <v>HITANO</v>
      </c>
      <c r="J141" s="7" t="str">
        <f t="shared" si="31"/>
        <v>330µF 160v</v>
      </c>
      <c r="K141" s="7"/>
      <c r="L141" s="7" t="str">
        <f t="shared" si="32"/>
        <v>ECR</v>
      </c>
      <c r="M141" s="31">
        <f t="shared" si="24"/>
        <v>18</v>
      </c>
      <c r="N141" s="31">
        <f t="shared" si="25"/>
        <v>41</v>
      </c>
      <c r="O141" s="8" t="str">
        <f t="shared" si="26"/>
        <v>Hitano-ECR</v>
      </c>
      <c r="P141" s="12" t="str">
        <f t="shared" si="22"/>
        <v>Hitano R-18.0x41.0</v>
      </c>
      <c r="Q141" s="12" t="str">
        <f t="shared" si="27"/>
        <v>330µF</v>
      </c>
      <c r="R141" s="12" t="str">
        <f t="shared" si="28"/>
        <v>160v</v>
      </c>
      <c r="S141" s="8" t="str">
        <f t="shared" si="23"/>
        <v>330µF 160v - R18.0-41.0 Hitano (ECR)</v>
      </c>
      <c r="T141" s="8">
        <f t="shared" si="29"/>
        <v>1</v>
      </c>
      <c r="U141" s="8" t="b">
        <f>NOT(ISNA(MATCH($P141,Packages!$A:$A,0)))</f>
        <v>1</v>
      </c>
    </row>
    <row r="142" spans="1:21" hidden="1">
      <c r="A142" s="6" t="s">
        <v>49</v>
      </c>
      <c r="B142" s="6" t="s">
        <v>50</v>
      </c>
      <c r="C142" s="33">
        <v>470</v>
      </c>
      <c r="D142" s="34">
        <v>160</v>
      </c>
      <c r="E142" s="6" t="s">
        <v>84</v>
      </c>
      <c r="F142" s="6" t="s">
        <v>59</v>
      </c>
      <c r="G142" s="6"/>
      <c r="H142" s="7" t="s">
        <v>141</v>
      </c>
      <c r="I142" s="7" t="str">
        <f t="shared" si="30"/>
        <v>HITANO</v>
      </c>
      <c r="J142" s="7" t="str">
        <f t="shared" si="31"/>
        <v>470µF 160v</v>
      </c>
      <c r="K142" s="7"/>
      <c r="L142" s="7" t="str">
        <f t="shared" si="32"/>
        <v>ECR</v>
      </c>
      <c r="M142" s="31">
        <f t="shared" si="24"/>
        <v>18</v>
      </c>
      <c r="N142" s="31">
        <f t="shared" si="25"/>
        <v>41</v>
      </c>
      <c r="O142" s="8" t="str">
        <f t="shared" si="26"/>
        <v>Hitano-ECR</v>
      </c>
      <c r="P142" s="12" t="str">
        <f t="shared" si="22"/>
        <v>Hitano R-18.0x41.0</v>
      </c>
      <c r="Q142" s="12" t="str">
        <f t="shared" si="27"/>
        <v>470µF</v>
      </c>
      <c r="R142" s="12" t="str">
        <f t="shared" si="28"/>
        <v>160v</v>
      </c>
      <c r="S142" s="8" t="str">
        <f t="shared" si="23"/>
        <v>470µF 160v - R18.0-41.0 Hitano (ECR)</v>
      </c>
      <c r="T142" s="8">
        <f t="shared" si="29"/>
        <v>1</v>
      </c>
      <c r="U142" s="8" t="b">
        <f>NOT(ISNA(MATCH($P142,Packages!$A:$A,0)))</f>
        <v>1</v>
      </c>
    </row>
    <row r="143" spans="1:21" hidden="1">
      <c r="A143" s="6" t="s">
        <v>49</v>
      </c>
      <c r="B143" s="6" t="s">
        <v>50</v>
      </c>
      <c r="C143" s="33">
        <v>0.47</v>
      </c>
      <c r="D143" s="34">
        <v>200</v>
      </c>
      <c r="E143" s="6" t="s">
        <v>68</v>
      </c>
      <c r="F143" s="6" t="s">
        <v>59</v>
      </c>
      <c r="G143" s="6"/>
      <c r="H143" s="7" t="s">
        <v>141</v>
      </c>
      <c r="I143" s="7" t="str">
        <f t="shared" si="30"/>
        <v>HITANO</v>
      </c>
      <c r="J143" s="7" t="str">
        <f t="shared" si="31"/>
        <v>0.47µF 200v</v>
      </c>
      <c r="K143" s="7"/>
      <c r="L143" s="7" t="str">
        <f t="shared" si="32"/>
        <v>ECR</v>
      </c>
      <c r="M143" s="31">
        <f t="shared" si="24"/>
        <v>5</v>
      </c>
      <c r="N143" s="31">
        <f t="shared" si="25"/>
        <v>11</v>
      </c>
      <c r="O143" s="8" t="str">
        <f t="shared" si="26"/>
        <v>Hitano-ECR</v>
      </c>
      <c r="P143" s="12" t="str">
        <f t="shared" si="22"/>
        <v>Hitano R-05.0x11.0</v>
      </c>
      <c r="Q143" s="12" t="str">
        <f t="shared" si="27"/>
        <v>0.47µF</v>
      </c>
      <c r="R143" s="12" t="str">
        <f t="shared" si="28"/>
        <v>200v</v>
      </c>
      <c r="S143" s="8" t="str">
        <f t="shared" si="23"/>
        <v>0.47µF 200v - R05.0-11.0 Hitano (ECR)</v>
      </c>
      <c r="T143" s="8">
        <f t="shared" si="29"/>
        <v>1</v>
      </c>
      <c r="U143" s="8" t="b">
        <f>NOT(ISNA(MATCH($P143,Packages!$A:$A,0)))</f>
        <v>1</v>
      </c>
    </row>
    <row r="144" spans="1:21" hidden="1">
      <c r="A144" s="6" t="s">
        <v>49</v>
      </c>
      <c r="B144" s="6" t="s">
        <v>50</v>
      </c>
      <c r="C144" s="33">
        <v>1</v>
      </c>
      <c r="D144" s="34">
        <v>200</v>
      </c>
      <c r="E144" s="6" t="s">
        <v>69</v>
      </c>
      <c r="F144" s="6" t="s">
        <v>59</v>
      </c>
      <c r="G144" s="6"/>
      <c r="H144" s="7" t="s">
        <v>141</v>
      </c>
      <c r="I144" s="7" t="str">
        <f t="shared" si="30"/>
        <v>HITANO</v>
      </c>
      <c r="J144" s="7" t="str">
        <f t="shared" si="31"/>
        <v>1µF 200v</v>
      </c>
      <c r="K144" s="7"/>
      <c r="L144" s="7" t="str">
        <f t="shared" si="32"/>
        <v>ECR</v>
      </c>
      <c r="M144" s="31">
        <f t="shared" si="24"/>
        <v>6.3</v>
      </c>
      <c r="N144" s="31">
        <f t="shared" si="25"/>
        <v>11</v>
      </c>
      <c r="O144" s="8" t="str">
        <f t="shared" si="26"/>
        <v>Hitano-ECR</v>
      </c>
      <c r="P144" s="12" t="str">
        <f t="shared" si="22"/>
        <v>Hitano R-06.0x11.0</v>
      </c>
      <c r="Q144" s="12" t="str">
        <f t="shared" si="27"/>
        <v>1µF</v>
      </c>
      <c r="R144" s="12" t="str">
        <f t="shared" si="28"/>
        <v>200v</v>
      </c>
      <c r="S144" s="8" t="str">
        <f t="shared" si="23"/>
        <v>1µF 200v - R06.3-11.0 Hitano (ECR)</v>
      </c>
      <c r="T144" s="8">
        <f t="shared" si="29"/>
        <v>1</v>
      </c>
      <c r="U144" s="8" t="b">
        <f>NOT(ISNA(MATCH($P144,Packages!$A:$A,0)))</f>
        <v>1</v>
      </c>
    </row>
    <row r="145" spans="1:21" hidden="1">
      <c r="A145" s="6" t="s">
        <v>49</v>
      </c>
      <c r="B145" s="6" t="s">
        <v>50</v>
      </c>
      <c r="C145" s="33">
        <v>2.2000000000000002</v>
      </c>
      <c r="D145" s="34">
        <v>200</v>
      </c>
      <c r="E145" s="6" t="s">
        <v>69</v>
      </c>
      <c r="F145" s="6" t="s">
        <v>59</v>
      </c>
      <c r="G145" s="6"/>
      <c r="H145" s="7" t="s">
        <v>141</v>
      </c>
      <c r="I145" s="7" t="str">
        <f t="shared" si="30"/>
        <v>HITANO</v>
      </c>
      <c r="J145" s="7" t="str">
        <f t="shared" si="31"/>
        <v>2.2µF 200v</v>
      </c>
      <c r="K145" s="7"/>
      <c r="L145" s="7" t="str">
        <f t="shared" si="32"/>
        <v>ECR</v>
      </c>
      <c r="M145" s="31">
        <f t="shared" si="24"/>
        <v>6.3</v>
      </c>
      <c r="N145" s="31">
        <f t="shared" si="25"/>
        <v>11</v>
      </c>
      <c r="O145" s="8" t="str">
        <f t="shared" si="26"/>
        <v>Hitano-ECR</v>
      </c>
      <c r="P145" s="12" t="str">
        <f t="shared" si="22"/>
        <v>Hitano R-06.0x11.0</v>
      </c>
      <c r="Q145" s="12" t="str">
        <f t="shared" si="27"/>
        <v>2.2µF</v>
      </c>
      <c r="R145" s="12" t="str">
        <f t="shared" si="28"/>
        <v>200v</v>
      </c>
      <c r="S145" s="8" t="str">
        <f t="shared" si="23"/>
        <v>2.2µF 200v - R06.3-11.0 Hitano (ECR)</v>
      </c>
      <c r="T145" s="8">
        <f t="shared" si="29"/>
        <v>1</v>
      </c>
      <c r="U145" s="8" t="b">
        <f>NOT(ISNA(MATCH($P145,Packages!$A:$A,0)))</f>
        <v>1</v>
      </c>
    </row>
    <row r="146" spans="1:21" hidden="1">
      <c r="A146" s="6" t="s">
        <v>49</v>
      </c>
      <c r="B146" s="6" t="s">
        <v>50</v>
      </c>
      <c r="C146" s="33">
        <v>3.3</v>
      </c>
      <c r="D146" s="34">
        <v>200</v>
      </c>
      <c r="E146" s="6" t="s">
        <v>69</v>
      </c>
      <c r="F146" s="6" t="s">
        <v>59</v>
      </c>
      <c r="G146" s="6"/>
      <c r="H146" s="7" t="s">
        <v>141</v>
      </c>
      <c r="I146" s="7" t="str">
        <f t="shared" si="30"/>
        <v>HITANO</v>
      </c>
      <c r="J146" s="7" t="str">
        <f t="shared" si="31"/>
        <v>3.3µF 200v</v>
      </c>
      <c r="K146" s="7"/>
      <c r="L146" s="7" t="str">
        <f t="shared" si="32"/>
        <v>ECR</v>
      </c>
      <c r="M146" s="31">
        <f t="shared" si="24"/>
        <v>6.3</v>
      </c>
      <c r="N146" s="31">
        <f t="shared" si="25"/>
        <v>11</v>
      </c>
      <c r="O146" s="8" t="str">
        <f t="shared" si="26"/>
        <v>Hitano-ECR</v>
      </c>
      <c r="P146" s="12" t="str">
        <f t="shared" si="22"/>
        <v>Hitano R-06.0x11.0</v>
      </c>
      <c r="Q146" s="12" t="str">
        <f t="shared" si="27"/>
        <v>3.3µF</v>
      </c>
      <c r="R146" s="12" t="str">
        <f t="shared" si="28"/>
        <v>200v</v>
      </c>
      <c r="S146" s="8" t="str">
        <f t="shared" si="23"/>
        <v>3.3µF 200v - R06.3-11.0 Hitano (ECR)</v>
      </c>
      <c r="T146" s="8">
        <f t="shared" si="29"/>
        <v>1</v>
      </c>
      <c r="U146" s="8" t="b">
        <f>NOT(ISNA(MATCH($P146,Packages!$A:$A,0)))</f>
        <v>1</v>
      </c>
    </row>
    <row r="147" spans="1:21" hidden="1">
      <c r="A147" s="6" t="s">
        <v>49</v>
      </c>
      <c r="B147" s="6" t="s">
        <v>50</v>
      </c>
      <c r="C147" s="33">
        <v>4.7</v>
      </c>
      <c r="D147" s="34">
        <v>200</v>
      </c>
      <c r="E147" s="6" t="s">
        <v>71</v>
      </c>
      <c r="F147" s="6" t="s">
        <v>59</v>
      </c>
      <c r="G147" s="6"/>
      <c r="H147" s="7" t="s">
        <v>141</v>
      </c>
      <c r="I147" s="7" t="str">
        <f t="shared" si="30"/>
        <v>HITANO</v>
      </c>
      <c r="J147" s="7" t="str">
        <f t="shared" si="31"/>
        <v>4.7µF 200v</v>
      </c>
      <c r="K147" s="7"/>
      <c r="L147" s="7" t="str">
        <f t="shared" si="32"/>
        <v>ECR</v>
      </c>
      <c r="M147" s="31">
        <f t="shared" si="24"/>
        <v>8</v>
      </c>
      <c r="N147" s="31">
        <f t="shared" si="25"/>
        <v>12</v>
      </c>
      <c r="O147" s="8" t="str">
        <f t="shared" si="26"/>
        <v>Hitano-ECR</v>
      </c>
      <c r="P147" s="12" t="str">
        <f t="shared" si="22"/>
        <v>Hitano R-08.0x12.0</v>
      </c>
      <c r="Q147" s="12" t="str">
        <f t="shared" si="27"/>
        <v>4.7µF</v>
      </c>
      <c r="R147" s="12" t="str">
        <f t="shared" si="28"/>
        <v>200v</v>
      </c>
      <c r="S147" s="8" t="str">
        <f t="shared" si="23"/>
        <v>4.7µF 200v - R08.0-12.0 Hitano (ECR)</v>
      </c>
      <c r="T147" s="8">
        <f t="shared" si="29"/>
        <v>1</v>
      </c>
      <c r="U147" s="8" t="b">
        <f>NOT(ISNA(MATCH($P147,Packages!$A:$A,0)))</f>
        <v>1</v>
      </c>
    </row>
    <row r="148" spans="1:21" hidden="1">
      <c r="A148" s="6" t="s">
        <v>49</v>
      </c>
      <c r="B148" s="6" t="s">
        <v>50</v>
      </c>
      <c r="C148" s="33">
        <v>10</v>
      </c>
      <c r="D148" s="34">
        <v>200</v>
      </c>
      <c r="E148" s="6" t="s">
        <v>72</v>
      </c>
      <c r="F148" s="6" t="s">
        <v>59</v>
      </c>
      <c r="G148" s="6"/>
      <c r="H148" s="7" t="s">
        <v>141</v>
      </c>
      <c r="I148" s="7" t="str">
        <f t="shared" si="30"/>
        <v>HITANO</v>
      </c>
      <c r="J148" s="7" t="str">
        <f t="shared" si="31"/>
        <v>10µF 200v</v>
      </c>
      <c r="K148" s="7"/>
      <c r="L148" s="7" t="str">
        <f t="shared" si="32"/>
        <v>ECR</v>
      </c>
      <c r="M148" s="31">
        <f t="shared" si="24"/>
        <v>10</v>
      </c>
      <c r="N148" s="31">
        <f t="shared" si="25"/>
        <v>13</v>
      </c>
      <c r="O148" s="8" t="str">
        <f t="shared" si="26"/>
        <v>Hitano-ECR</v>
      </c>
      <c r="P148" s="12" t="str">
        <f t="shared" si="22"/>
        <v>Hitano R-10.0x13.0</v>
      </c>
      <c r="Q148" s="12" t="str">
        <f t="shared" si="27"/>
        <v>10µF</v>
      </c>
      <c r="R148" s="12" t="str">
        <f t="shared" si="28"/>
        <v>200v</v>
      </c>
      <c r="S148" s="8" t="str">
        <f t="shared" si="23"/>
        <v>10µF 200v - R10.0-13.0 Hitano (ECR)</v>
      </c>
      <c r="T148" s="8">
        <f t="shared" si="29"/>
        <v>1</v>
      </c>
      <c r="U148" s="8" t="b">
        <f>NOT(ISNA(MATCH($P148,Packages!$A:$A,0)))</f>
        <v>1</v>
      </c>
    </row>
    <row r="149" spans="1:21" hidden="1">
      <c r="A149" s="6" t="s">
        <v>49</v>
      </c>
      <c r="B149" s="6" t="s">
        <v>50</v>
      </c>
      <c r="C149" s="33">
        <v>10</v>
      </c>
      <c r="D149" s="34">
        <v>200</v>
      </c>
      <c r="E149" s="6" t="s">
        <v>74</v>
      </c>
      <c r="F149" s="6" t="s">
        <v>59</v>
      </c>
      <c r="G149" s="6"/>
      <c r="H149" s="7" t="s">
        <v>141</v>
      </c>
      <c r="I149" s="7" t="str">
        <f t="shared" si="30"/>
        <v>HITANO</v>
      </c>
      <c r="J149" s="7" t="str">
        <f t="shared" si="31"/>
        <v>10µF 200v</v>
      </c>
      <c r="K149" s="7"/>
      <c r="L149" s="7" t="str">
        <f t="shared" si="32"/>
        <v>ECR</v>
      </c>
      <c r="M149" s="31">
        <f t="shared" si="24"/>
        <v>10</v>
      </c>
      <c r="N149" s="31">
        <f t="shared" si="25"/>
        <v>16</v>
      </c>
      <c r="O149" s="8" t="str">
        <f t="shared" si="26"/>
        <v>Hitano-ECR</v>
      </c>
      <c r="P149" s="12" t="str">
        <f t="shared" si="22"/>
        <v>Hitano R-10.0x16.0</v>
      </c>
      <c r="Q149" s="12" t="str">
        <f t="shared" si="27"/>
        <v>10µF</v>
      </c>
      <c r="R149" s="12" t="str">
        <f t="shared" si="28"/>
        <v>200v</v>
      </c>
      <c r="S149" s="8" t="str">
        <f t="shared" si="23"/>
        <v>10µF 200v - R10.0-16.0 Hitano (ECR)</v>
      </c>
      <c r="T149" s="8">
        <f t="shared" si="29"/>
        <v>1</v>
      </c>
      <c r="U149" s="8" t="b">
        <f>NOT(ISNA(MATCH($P149,Packages!$A:$A,0)))</f>
        <v>1</v>
      </c>
    </row>
    <row r="150" spans="1:21" hidden="1">
      <c r="A150" s="6" t="s">
        <v>49</v>
      </c>
      <c r="B150" s="6" t="s">
        <v>50</v>
      </c>
      <c r="C150" s="33">
        <v>22</v>
      </c>
      <c r="D150" s="34">
        <v>200</v>
      </c>
      <c r="E150" s="6" t="s">
        <v>75</v>
      </c>
      <c r="F150" s="6" t="s">
        <v>59</v>
      </c>
      <c r="G150" s="6"/>
      <c r="H150" s="7" t="s">
        <v>141</v>
      </c>
      <c r="I150" s="7" t="str">
        <f t="shared" si="30"/>
        <v>HITANO</v>
      </c>
      <c r="J150" s="7" t="str">
        <f t="shared" si="31"/>
        <v>22µF 200v</v>
      </c>
      <c r="K150" s="7"/>
      <c r="L150" s="7" t="str">
        <f t="shared" si="32"/>
        <v>ECR</v>
      </c>
      <c r="M150" s="31">
        <f t="shared" si="24"/>
        <v>10</v>
      </c>
      <c r="N150" s="31">
        <f t="shared" si="25"/>
        <v>21</v>
      </c>
      <c r="O150" s="8" t="str">
        <f t="shared" si="26"/>
        <v>Hitano-ECR</v>
      </c>
      <c r="P150" s="12" t="str">
        <f t="shared" si="22"/>
        <v>Hitano R-10.0x21.0</v>
      </c>
      <c r="Q150" s="12" t="str">
        <f t="shared" si="27"/>
        <v>22µF</v>
      </c>
      <c r="R150" s="12" t="str">
        <f t="shared" si="28"/>
        <v>200v</v>
      </c>
      <c r="S150" s="8" t="str">
        <f t="shared" si="23"/>
        <v>22µF 200v - R10.0-21.0 Hitano (ECR)</v>
      </c>
      <c r="T150" s="8">
        <f t="shared" si="29"/>
        <v>1</v>
      </c>
      <c r="U150" s="8" t="b">
        <f>NOT(ISNA(MATCH($P150,Packages!$A:$A,0)))</f>
        <v>1</v>
      </c>
    </row>
    <row r="151" spans="1:21" hidden="1">
      <c r="A151" s="6" t="s">
        <v>49</v>
      </c>
      <c r="B151" s="6" t="s">
        <v>50</v>
      </c>
      <c r="C151" s="33">
        <v>33</v>
      </c>
      <c r="D151" s="34">
        <v>200</v>
      </c>
      <c r="E151" s="6" t="s">
        <v>76</v>
      </c>
      <c r="F151" s="6" t="s">
        <v>59</v>
      </c>
      <c r="G151" s="6"/>
      <c r="H151" s="7" t="s">
        <v>141</v>
      </c>
      <c r="I151" s="7" t="str">
        <f t="shared" si="30"/>
        <v>HITANO</v>
      </c>
      <c r="J151" s="7" t="str">
        <f t="shared" si="31"/>
        <v>33µF 200v</v>
      </c>
      <c r="K151" s="7"/>
      <c r="L151" s="7" t="str">
        <f t="shared" si="32"/>
        <v>ECR</v>
      </c>
      <c r="M151" s="31">
        <f t="shared" si="24"/>
        <v>13</v>
      </c>
      <c r="N151" s="31">
        <f t="shared" si="25"/>
        <v>21</v>
      </c>
      <c r="O151" s="8" t="str">
        <f t="shared" si="26"/>
        <v>Hitano-ECR</v>
      </c>
      <c r="P151" s="12" t="str">
        <f t="shared" si="22"/>
        <v>Hitano R-13.0x21.0</v>
      </c>
      <c r="Q151" s="12" t="str">
        <f t="shared" si="27"/>
        <v>33µF</v>
      </c>
      <c r="R151" s="12" t="str">
        <f t="shared" si="28"/>
        <v>200v</v>
      </c>
      <c r="S151" s="8" t="str">
        <f t="shared" si="23"/>
        <v>33µF 200v - R13.0-21.0 Hitano (ECR)</v>
      </c>
      <c r="T151" s="8">
        <f t="shared" si="29"/>
        <v>1</v>
      </c>
      <c r="U151" s="8" t="b">
        <f>NOT(ISNA(MATCH($P151,Packages!$A:$A,0)))</f>
        <v>1</v>
      </c>
    </row>
    <row r="152" spans="1:21" hidden="1">
      <c r="A152" s="6" t="s">
        <v>49</v>
      </c>
      <c r="B152" s="6" t="s">
        <v>50</v>
      </c>
      <c r="C152" s="33">
        <v>47</v>
      </c>
      <c r="D152" s="34">
        <v>200</v>
      </c>
      <c r="E152" s="6" t="s">
        <v>76</v>
      </c>
      <c r="F152" s="6" t="s">
        <v>59</v>
      </c>
      <c r="G152" s="6"/>
      <c r="H152" s="7" t="s">
        <v>141</v>
      </c>
      <c r="I152" s="7" t="str">
        <f t="shared" si="30"/>
        <v>HITANO</v>
      </c>
      <c r="J152" s="7" t="str">
        <f t="shared" si="31"/>
        <v>47µF 200v</v>
      </c>
      <c r="K152" s="7"/>
      <c r="L152" s="7" t="str">
        <f t="shared" si="32"/>
        <v>ECR</v>
      </c>
      <c r="M152" s="31">
        <f t="shared" si="24"/>
        <v>13</v>
      </c>
      <c r="N152" s="31">
        <f t="shared" si="25"/>
        <v>21</v>
      </c>
      <c r="O152" s="8" t="str">
        <f t="shared" si="26"/>
        <v>Hitano-ECR</v>
      </c>
      <c r="P152" s="12" t="str">
        <f t="shared" si="22"/>
        <v>Hitano R-13.0x21.0</v>
      </c>
      <c r="Q152" s="12" t="str">
        <f t="shared" si="27"/>
        <v>47µF</v>
      </c>
      <c r="R152" s="12" t="str">
        <f t="shared" si="28"/>
        <v>200v</v>
      </c>
      <c r="S152" s="8" t="str">
        <f t="shared" si="23"/>
        <v>47µF 200v - R13.0-21.0 Hitano (ECR)</v>
      </c>
      <c r="T152" s="8">
        <f t="shared" si="29"/>
        <v>1</v>
      </c>
      <c r="U152" s="8" t="b">
        <f>NOT(ISNA(MATCH($P152,Packages!$A:$A,0)))</f>
        <v>1</v>
      </c>
    </row>
    <row r="153" spans="1:21" hidden="1">
      <c r="A153" s="6" t="s">
        <v>49</v>
      </c>
      <c r="B153" s="6" t="s">
        <v>50</v>
      </c>
      <c r="C153" s="33">
        <v>100</v>
      </c>
      <c r="D153" s="34">
        <v>200</v>
      </c>
      <c r="E153" s="6" t="s">
        <v>78</v>
      </c>
      <c r="F153" s="6" t="s">
        <v>59</v>
      </c>
      <c r="G153" s="6"/>
      <c r="H153" s="7" t="s">
        <v>141</v>
      </c>
      <c r="I153" s="7" t="str">
        <f t="shared" si="30"/>
        <v>HITANO</v>
      </c>
      <c r="J153" s="7" t="str">
        <f t="shared" si="31"/>
        <v>100µF 200v</v>
      </c>
      <c r="K153" s="7"/>
      <c r="L153" s="7" t="str">
        <f t="shared" si="32"/>
        <v>ECR</v>
      </c>
      <c r="M153" s="31">
        <f t="shared" si="24"/>
        <v>16</v>
      </c>
      <c r="N153" s="31">
        <f t="shared" si="25"/>
        <v>26</v>
      </c>
      <c r="O153" s="8" t="str">
        <f t="shared" si="26"/>
        <v>Hitano-ECR</v>
      </c>
      <c r="P153" s="12" t="str">
        <f t="shared" si="22"/>
        <v>Hitano R-16.0x26.0</v>
      </c>
      <c r="Q153" s="12" t="str">
        <f t="shared" si="27"/>
        <v>100µF</v>
      </c>
      <c r="R153" s="12" t="str">
        <f t="shared" si="28"/>
        <v>200v</v>
      </c>
      <c r="S153" s="8" t="str">
        <f t="shared" si="23"/>
        <v>100µF 200v - R16.0-26.0 Hitano (ECR)</v>
      </c>
      <c r="T153" s="8">
        <f t="shared" si="29"/>
        <v>1</v>
      </c>
      <c r="U153" s="8" t="b">
        <f>NOT(ISNA(MATCH($P153,Packages!$A:$A,0)))</f>
        <v>1</v>
      </c>
    </row>
    <row r="154" spans="1:21" hidden="1">
      <c r="A154" s="6" t="s">
        <v>49</v>
      </c>
      <c r="B154" s="6" t="s">
        <v>50</v>
      </c>
      <c r="C154" s="33">
        <v>220</v>
      </c>
      <c r="D154" s="34">
        <v>200</v>
      </c>
      <c r="E154" s="6" t="s">
        <v>79</v>
      </c>
      <c r="F154" s="6" t="s">
        <v>59</v>
      </c>
      <c r="G154" s="6"/>
      <c r="H154" s="7" t="s">
        <v>141</v>
      </c>
      <c r="I154" s="7" t="str">
        <f t="shared" si="30"/>
        <v>HITANO</v>
      </c>
      <c r="J154" s="7" t="str">
        <f t="shared" si="31"/>
        <v>220µF 200v</v>
      </c>
      <c r="K154" s="7"/>
      <c r="L154" s="7" t="str">
        <f t="shared" si="32"/>
        <v>ECR</v>
      </c>
      <c r="M154" s="31">
        <f t="shared" si="24"/>
        <v>16</v>
      </c>
      <c r="N154" s="31">
        <f t="shared" si="25"/>
        <v>36</v>
      </c>
      <c r="O154" s="8" t="str">
        <f t="shared" si="26"/>
        <v>Hitano-ECR</v>
      </c>
      <c r="P154" s="12" t="str">
        <f t="shared" si="22"/>
        <v>Hitano R-16.0x36.0</v>
      </c>
      <c r="Q154" s="12" t="str">
        <f t="shared" si="27"/>
        <v>220µF</v>
      </c>
      <c r="R154" s="12" t="str">
        <f t="shared" si="28"/>
        <v>200v</v>
      </c>
      <c r="S154" s="8" t="str">
        <f t="shared" si="23"/>
        <v>220µF 200v - R16.0-36.0 Hitano (ECR)</v>
      </c>
      <c r="T154" s="8">
        <f t="shared" si="29"/>
        <v>1</v>
      </c>
      <c r="U154" s="8" t="b">
        <f>NOT(ISNA(MATCH($P154,Packages!$A:$A,0)))</f>
        <v>1</v>
      </c>
    </row>
    <row r="155" spans="1:21" hidden="1">
      <c r="A155" s="6" t="s">
        <v>49</v>
      </c>
      <c r="B155" s="6" t="s">
        <v>50</v>
      </c>
      <c r="C155" s="33">
        <v>0.47</v>
      </c>
      <c r="D155" s="34">
        <v>250</v>
      </c>
      <c r="E155" s="6" t="s">
        <v>68</v>
      </c>
      <c r="F155" s="6" t="s">
        <v>59</v>
      </c>
      <c r="G155" s="6"/>
      <c r="H155" s="7" t="s">
        <v>141</v>
      </c>
      <c r="I155" s="7" t="str">
        <f t="shared" si="30"/>
        <v>HITANO</v>
      </c>
      <c r="J155" s="7" t="str">
        <f t="shared" si="31"/>
        <v>0.47µF 250v</v>
      </c>
      <c r="K155" s="7"/>
      <c r="L155" s="7" t="str">
        <f t="shared" si="32"/>
        <v>ECR</v>
      </c>
      <c r="M155" s="31">
        <f t="shared" si="24"/>
        <v>5</v>
      </c>
      <c r="N155" s="31">
        <f t="shared" si="25"/>
        <v>11</v>
      </c>
      <c r="O155" s="8" t="str">
        <f t="shared" si="26"/>
        <v>Hitano-ECR</v>
      </c>
      <c r="P155" s="12" t="str">
        <f t="shared" si="22"/>
        <v>Hitano R-05.0x11.0</v>
      </c>
      <c r="Q155" s="12" t="str">
        <f t="shared" si="27"/>
        <v>0.47µF</v>
      </c>
      <c r="R155" s="12" t="str">
        <f t="shared" si="28"/>
        <v>250v</v>
      </c>
      <c r="S155" s="8" t="str">
        <f t="shared" si="23"/>
        <v>0.47µF 250v - R05.0-11.0 Hitano (ECR)</v>
      </c>
      <c r="T155" s="8">
        <f t="shared" si="29"/>
        <v>1</v>
      </c>
      <c r="U155" s="8" t="b">
        <f>NOT(ISNA(MATCH($P155,Packages!$A:$A,0)))</f>
        <v>1</v>
      </c>
    </row>
    <row r="156" spans="1:21" hidden="1">
      <c r="A156" s="6" t="s">
        <v>49</v>
      </c>
      <c r="B156" s="6" t="s">
        <v>50</v>
      </c>
      <c r="C156" s="33">
        <v>1</v>
      </c>
      <c r="D156" s="34">
        <v>250</v>
      </c>
      <c r="E156" s="6" t="s">
        <v>69</v>
      </c>
      <c r="F156" s="6" t="s">
        <v>59</v>
      </c>
      <c r="G156" s="6"/>
      <c r="H156" s="7" t="s">
        <v>141</v>
      </c>
      <c r="I156" s="7" t="str">
        <f t="shared" si="30"/>
        <v>HITANO</v>
      </c>
      <c r="J156" s="7" t="str">
        <f t="shared" si="31"/>
        <v>1µF 250v</v>
      </c>
      <c r="K156" s="7"/>
      <c r="L156" s="7" t="str">
        <f t="shared" si="32"/>
        <v>ECR</v>
      </c>
      <c r="M156" s="31">
        <f t="shared" si="24"/>
        <v>6.3</v>
      </c>
      <c r="N156" s="31">
        <f t="shared" si="25"/>
        <v>11</v>
      </c>
      <c r="O156" s="8" t="str">
        <f t="shared" si="26"/>
        <v>Hitano-ECR</v>
      </c>
      <c r="P156" s="12" t="str">
        <f t="shared" si="22"/>
        <v>Hitano R-06.0x11.0</v>
      </c>
      <c r="Q156" s="12" t="str">
        <f t="shared" si="27"/>
        <v>1µF</v>
      </c>
      <c r="R156" s="12" t="str">
        <f t="shared" si="28"/>
        <v>250v</v>
      </c>
      <c r="S156" s="8" t="str">
        <f t="shared" si="23"/>
        <v>1µF 250v - R06.3-11.0 Hitano (ECR)</v>
      </c>
      <c r="T156" s="8">
        <f t="shared" si="29"/>
        <v>1</v>
      </c>
      <c r="U156" s="8" t="b">
        <f>NOT(ISNA(MATCH($P156,Packages!$A:$A,0)))</f>
        <v>1</v>
      </c>
    </row>
    <row r="157" spans="1:21" hidden="1">
      <c r="A157" s="6" t="s">
        <v>49</v>
      </c>
      <c r="B157" s="6" t="s">
        <v>50</v>
      </c>
      <c r="C157" s="33">
        <v>2.2000000000000002</v>
      </c>
      <c r="D157" s="34">
        <v>250</v>
      </c>
      <c r="E157" s="6" t="s">
        <v>69</v>
      </c>
      <c r="F157" s="6" t="s">
        <v>59</v>
      </c>
      <c r="G157" s="6"/>
      <c r="H157" s="7" t="s">
        <v>141</v>
      </c>
      <c r="I157" s="7" t="str">
        <f t="shared" si="30"/>
        <v>HITANO</v>
      </c>
      <c r="J157" s="7" t="str">
        <f t="shared" si="31"/>
        <v>2.2µF 250v</v>
      </c>
      <c r="K157" s="7"/>
      <c r="L157" s="7" t="str">
        <f t="shared" si="32"/>
        <v>ECR</v>
      </c>
      <c r="M157" s="31">
        <f t="shared" si="24"/>
        <v>6.3</v>
      </c>
      <c r="N157" s="31">
        <f t="shared" si="25"/>
        <v>11</v>
      </c>
      <c r="O157" s="8" t="str">
        <f t="shared" si="26"/>
        <v>Hitano-ECR</v>
      </c>
      <c r="P157" s="12" t="str">
        <f t="shared" si="22"/>
        <v>Hitano R-06.0x11.0</v>
      </c>
      <c r="Q157" s="12" t="str">
        <f t="shared" si="27"/>
        <v>2.2µF</v>
      </c>
      <c r="R157" s="12" t="str">
        <f t="shared" si="28"/>
        <v>250v</v>
      </c>
      <c r="S157" s="8" t="str">
        <f t="shared" si="23"/>
        <v>2.2µF 250v - R06.3-11.0 Hitano (ECR)</v>
      </c>
      <c r="T157" s="8">
        <f t="shared" si="29"/>
        <v>1</v>
      </c>
      <c r="U157" s="8" t="b">
        <f>NOT(ISNA(MATCH($P157,Packages!$A:$A,0)))</f>
        <v>1</v>
      </c>
    </row>
    <row r="158" spans="1:21" hidden="1">
      <c r="A158" s="6" t="s">
        <v>49</v>
      </c>
      <c r="B158" s="6" t="s">
        <v>50</v>
      </c>
      <c r="C158" s="33">
        <v>3.3</v>
      </c>
      <c r="D158" s="34">
        <v>250</v>
      </c>
      <c r="E158" s="6" t="s">
        <v>71</v>
      </c>
      <c r="F158" s="6" t="s">
        <v>59</v>
      </c>
      <c r="G158" s="6"/>
      <c r="H158" s="7" t="s">
        <v>141</v>
      </c>
      <c r="I158" s="7" t="str">
        <f t="shared" si="30"/>
        <v>HITANO</v>
      </c>
      <c r="J158" s="7" t="str">
        <f t="shared" si="31"/>
        <v>3.3µF 250v</v>
      </c>
      <c r="K158" s="7"/>
      <c r="L158" s="7" t="str">
        <f t="shared" si="32"/>
        <v>ECR</v>
      </c>
      <c r="M158" s="31">
        <f t="shared" si="24"/>
        <v>8</v>
      </c>
      <c r="N158" s="31">
        <f t="shared" si="25"/>
        <v>12</v>
      </c>
      <c r="O158" s="8" t="str">
        <f t="shared" si="26"/>
        <v>Hitano-ECR</v>
      </c>
      <c r="P158" s="12" t="str">
        <f t="shared" si="22"/>
        <v>Hitano R-08.0x12.0</v>
      </c>
      <c r="Q158" s="12" t="str">
        <f t="shared" si="27"/>
        <v>3.3µF</v>
      </c>
      <c r="R158" s="12" t="str">
        <f t="shared" si="28"/>
        <v>250v</v>
      </c>
      <c r="S158" s="8" t="str">
        <f t="shared" si="23"/>
        <v>3.3µF 250v - R08.0-12.0 Hitano (ECR)</v>
      </c>
      <c r="T158" s="8">
        <f t="shared" si="29"/>
        <v>1</v>
      </c>
      <c r="U158" s="8" t="b">
        <f>NOT(ISNA(MATCH($P158,Packages!$A:$A,0)))</f>
        <v>1</v>
      </c>
    </row>
    <row r="159" spans="1:21" hidden="1">
      <c r="A159" s="6" t="s">
        <v>49</v>
      </c>
      <c r="B159" s="6" t="s">
        <v>50</v>
      </c>
      <c r="C159" s="33">
        <v>4.7</v>
      </c>
      <c r="D159" s="34">
        <v>250</v>
      </c>
      <c r="E159" s="6" t="s">
        <v>72</v>
      </c>
      <c r="F159" s="6" t="s">
        <v>59</v>
      </c>
      <c r="G159" s="6"/>
      <c r="H159" s="7" t="s">
        <v>141</v>
      </c>
      <c r="I159" s="7" t="str">
        <f t="shared" si="30"/>
        <v>HITANO</v>
      </c>
      <c r="J159" s="7" t="str">
        <f t="shared" si="31"/>
        <v>4.7µF 250v</v>
      </c>
      <c r="K159" s="7"/>
      <c r="L159" s="7" t="str">
        <f t="shared" si="32"/>
        <v>ECR</v>
      </c>
      <c r="M159" s="31">
        <f t="shared" si="24"/>
        <v>10</v>
      </c>
      <c r="N159" s="31">
        <f t="shared" si="25"/>
        <v>13</v>
      </c>
      <c r="O159" s="8" t="str">
        <f t="shared" si="26"/>
        <v>Hitano-ECR</v>
      </c>
      <c r="P159" s="12" t="str">
        <f t="shared" si="22"/>
        <v>Hitano R-10.0x13.0</v>
      </c>
      <c r="Q159" s="12" t="str">
        <f t="shared" si="27"/>
        <v>4.7µF</v>
      </c>
      <c r="R159" s="12" t="str">
        <f t="shared" si="28"/>
        <v>250v</v>
      </c>
      <c r="S159" s="8" t="str">
        <f t="shared" si="23"/>
        <v>4.7µF 250v - R10.0-13.0 Hitano (ECR)</v>
      </c>
      <c r="T159" s="8">
        <f t="shared" si="29"/>
        <v>1</v>
      </c>
      <c r="U159" s="8" t="b">
        <f>NOT(ISNA(MATCH($P159,Packages!$A:$A,0)))</f>
        <v>1</v>
      </c>
    </row>
    <row r="160" spans="1:21" hidden="1">
      <c r="A160" s="6" t="s">
        <v>49</v>
      </c>
      <c r="B160" s="6" t="s">
        <v>50</v>
      </c>
      <c r="C160" s="33">
        <v>10</v>
      </c>
      <c r="D160" s="34">
        <v>250</v>
      </c>
      <c r="E160" s="6" t="s">
        <v>74</v>
      </c>
      <c r="F160" s="6" t="s">
        <v>59</v>
      </c>
      <c r="G160" s="6"/>
      <c r="H160" s="7" t="s">
        <v>141</v>
      </c>
      <c r="I160" s="7" t="str">
        <f t="shared" si="30"/>
        <v>HITANO</v>
      </c>
      <c r="J160" s="7" t="str">
        <f t="shared" si="31"/>
        <v>10µF 250v</v>
      </c>
      <c r="K160" s="7"/>
      <c r="L160" s="7" t="str">
        <f t="shared" si="32"/>
        <v>ECR</v>
      </c>
      <c r="M160" s="31">
        <f t="shared" si="24"/>
        <v>10</v>
      </c>
      <c r="N160" s="31">
        <f t="shared" si="25"/>
        <v>16</v>
      </c>
      <c r="O160" s="8" t="str">
        <f t="shared" si="26"/>
        <v>Hitano-ECR</v>
      </c>
      <c r="P160" s="12" t="str">
        <f t="shared" si="22"/>
        <v>Hitano R-10.0x16.0</v>
      </c>
      <c r="Q160" s="12" t="str">
        <f t="shared" si="27"/>
        <v>10µF</v>
      </c>
      <c r="R160" s="12" t="str">
        <f t="shared" si="28"/>
        <v>250v</v>
      </c>
      <c r="S160" s="8" t="str">
        <f t="shared" si="23"/>
        <v>10µF 250v - R10.0-16.0 Hitano (ECR)</v>
      </c>
      <c r="T160" s="8">
        <f t="shared" si="29"/>
        <v>1</v>
      </c>
      <c r="U160" s="8" t="b">
        <f>NOT(ISNA(MATCH($P160,Packages!$A:$A,0)))</f>
        <v>1</v>
      </c>
    </row>
    <row r="161" spans="1:21" hidden="1">
      <c r="A161" s="6" t="s">
        <v>49</v>
      </c>
      <c r="B161" s="6" t="s">
        <v>50</v>
      </c>
      <c r="C161" s="33">
        <v>22</v>
      </c>
      <c r="D161" s="34">
        <v>250</v>
      </c>
      <c r="E161" s="6" t="s">
        <v>75</v>
      </c>
      <c r="F161" s="6" t="s">
        <v>59</v>
      </c>
      <c r="G161" s="6"/>
      <c r="H161" s="7" t="s">
        <v>141</v>
      </c>
      <c r="I161" s="7" t="str">
        <f t="shared" si="30"/>
        <v>HITANO</v>
      </c>
      <c r="J161" s="7" t="str">
        <f t="shared" si="31"/>
        <v>22µF 250v</v>
      </c>
      <c r="K161" s="7"/>
      <c r="L161" s="7" t="str">
        <f t="shared" si="32"/>
        <v>ECR</v>
      </c>
      <c r="M161" s="31">
        <f t="shared" si="24"/>
        <v>10</v>
      </c>
      <c r="N161" s="31">
        <f t="shared" si="25"/>
        <v>21</v>
      </c>
      <c r="O161" s="8" t="str">
        <f t="shared" si="26"/>
        <v>Hitano-ECR</v>
      </c>
      <c r="P161" s="12" t="str">
        <f t="shared" si="22"/>
        <v>Hitano R-10.0x21.0</v>
      </c>
      <c r="Q161" s="12" t="str">
        <f t="shared" si="27"/>
        <v>22µF</v>
      </c>
      <c r="R161" s="12" t="str">
        <f t="shared" si="28"/>
        <v>250v</v>
      </c>
      <c r="S161" s="8" t="str">
        <f t="shared" si="23"/>
        <v>22µF 250v - R10.0-21.0 Hitano (ECR)</v>
      </c>
      <c r="T161" s="8">
        <f t="shared" si="29"/>
        <v>1</v>
      </c>
      <c r="U161" s="8" t="b">
        <f>NOT(ISNA(MATCH($P161,Packages!$A:$A,0)))</f>
        <v>1</v>
      </c>
    </row>
    <row r="162" spans="1:21" hidden="1">
      <c r="A162" s="6" t="s">
        <v>49</v>
      </c>
      <c r="B162" s="6" t="s">
        <v>50</v>
      </c>
      <c r="C162" s="33">
        <v>22</v>
      </c>
      <c r="D162" s="34">
        <v>250</v>
      </c>
      <c r="E162" s="6" t="s">
        <v>76</v>
      </c>
      <c r="F162" s="6" t="s">
        <v>59</v>
      </c>
      <c r="G162" s="6"/>
      <c r="H162" s="7" t="s">
        <v>141</v>
      </c>
      <c r="I162" s="7" t="str">
        <f t="shared" si="30"/>
        <v>HITANO</v>
      </c>
      <c r="J162" s="7" t="str">
        <f t="shared" si="31"/>
        <v>22µF 250v</v>
      </c>
      <c r="K162" s="7"/>
      <c r="L162" s="7" t="str">
        <f t="shared" si="32"/>
        <v>ECR</v>
      </c>
      <c r="M162" s="31">
        <f t="shared" si="24"/>
        <v>13</v>
      </c>
      <c r="N162" s="31">
        <f t="shared" si="25"/>
        <v>21</v>
      </c>
      <c r="O162" s="8" t="str">
        <f t="shared" si="26"/>
        <v>Hitano-ECR</v>
      </c>
      <c r="P162" s="12" t="str">
        <f t="shared" si="22"/>
        <v>Hitano R-13.0x21.0</v>
      </c>
      <c r="Q162" s="12" t="str">
        <f t="shared" si="27"/>
        <v>22µF</v>
      </c>
      <c r="R162" s="12" t="str">
        <f t="shared" si="28"/>
        <v>250v</v>
      </c>
      <c r="S162" s="8" t="str">
        <f t="shared" si="23"/>
        <v>22µF 250v - R13.0-21.0 Hitano (ECR)</v>
      </c>
      <c r="T162" s="8">
        <f t="shared" si="29"/>
        <v>1</v>
      </c>
      <c r="U162" s="8" t="b">
        <f>NOT(ISNA(MATCH($P162,Packages!$A:$A,0)))</f>
        <v>1</v>
      </c>
    </row>
    <row r="163" spans="1:21" hidden="1">
      <c r="A163" s="6" t="s">
        <v>49</v>
      </c>
      <c r="B163" s="6" t="s">
        <v>50</v>
      </c>
      <c r="C163" s="33">
        <v>33</v>
      </c>
      <c r="D163" s="34">
        <v>250</v>
      </c>
      <c r="E163" s="6" t="s">
        <v>76</v>
      </c>
      <c r="F163" s="6" t="s">
        <v>59</v>
      </c>
      <c r="G163" s="6"/>
      <c r="H163" s="7" t="s">
        <v>141</v>
      </c>
      <c r="I163" s="7" t="str">
        <f t="shared" si="30"/>
        <v>HITANO</v>
      </c>
      <c r="J163" s="7" t="str">
        <f t="shared" si="31"/>
        <v>33µF 250v</v>
      </c>
      <c r="K163" s="7"/>
      <c r="L163" s="7" t="str">
        <f t="shared" si="32"/>
        <v>ECR</v>
      </c>
      <c r="M163" s="31">
        <f t="shared" si="24"/>
        <v>13</v>
      </c>
      <c r="N163" s="31">
        <f t="shared" si="25"/>
        <v>21</v>
      </c>
      <c r="O163" s="8" t="str">
        <f t="shared" si="26"/>
        <v>Hitano-ECR</v>
      </c>
      <c r="P163" s="12" t="str">
        <f t="shared" si="22"/>
        <v>Hitano R-13.0x21.0</v>
      </c>
      <c r="Q163" s="12" t="str">
        <f t="shared" si="27"/>
        <v>33µF</v>
      </c>
      <c r="R163" s="12" t="str">
        <f t="shared" si="28"/>
        <v>250v</v>
      </c>
      <c r="S163" s="8" t="str">
        <f t="shared" si="23"/>
        <v>33µF 250v - R13.0-21.0 Hitano (ECR)</v>
      </c>
      <c r="T163" s="8">
        <f t="shared" si="29"/>
        <v>1</v>
      </c>
      <c r="U163" s="8" t="b">
        <f>NOT(ISNA(MATCH($P163,Packages!$A:$A,0)))</f>
        <v>1</v>
      </c>
    </row>
    <row r="164" spans="1:21" hidden="1">
      <c r="A164" s="6" t="s">
        <v>49</v>
      </c>
      <c r="B164" s="6" t="s">
        <v>50</v>
      </c>
      <c r="C164" s="33">
        <v>47</v>
      </c>
      <c r="D164" s="34">
        <v>250</v>
      </c>
      <c r="E164" s="6" t="s">
        <v>77</v>
      </c>
      <c r="F164" s="6" t="s">
        <v>59</v>
      </c>
      <c r="G164" s="6"/>
      <c r="H164" s="7" t="s">
        <v>141</v>
      </c>
      <c r="I164" s="7" t="str">
        <f t="shared" si="30"/>
        <v>HITANO</v>
      </c>
      <c r="J164" s="7" t="str">
        <f t="shared" si="31"/>
        <v>47µF 250v</v>
      </c>
      <c r="K164" s="7"/>
      <c r="L164" s="7" t="str">
        <f t="shared" si="32"/>
        <v>ECR</v>
      </c>
      <c r="M164" s="31">
        <f t="shared" si="24"/>
        <v>13</v>
      </c>
      <c r="N164" s="31">
        <f t="shared" si="25"/>
        <v>26</v>
      </c>
      <c r="O164" s="8" t="str">
        <f t="shared" si="26"/>
        <v>Hitano-ECR</v>
      </c>
      <c r="P164" s="12" t="str">
        <f t="shared" si="22"/>
        <v>Hitano R-13.0x26.0</v>
      </c>
      <c r="Q164" s="12" t="str">
        <f t="shared" si="27"/>
        <v>47µF</v>
      </c>
      <c r="R164" s="12" t="str">
        <f t="shared" si="28"/>
        <v>250v</v>
      </c>
      <c r="S164" s="8" t="str">
        <f t="shared" si="23"/>
        <v>47µF 250v - R13.0-26.0 Hitano (ECR)</v>
      </c>
      <c r="T164" s="8">
        <f t="shared" si="29"/>
        <v>1</v>
      </c>
      <c r="U164" s="8" t="b">
        <f>NOT(ISNA(MATCH($P164,Packages!$A:$A,0)))</f>
        <v>1</v>
      </c>
    </row>
    <row r="165" spans="1:21" hidden="1">
      <c r="A165" s="6" t="s">
        <v>49</v>
      </c>
      <c r="B165" s="6" t="s">
        <v>50</v>
      </c>
      <c r="C165" s="33">
        <v>100</v>
      </c>
      <c r="D165" s="34">
        <v>250</v>
      </c>
      <c r="E165" s="6" t="s">
        <v>81</v>
      </c>
      <c r="F165" s="6" t="s">
        <v>59</v>
      </c>
      <c r="G165" s="6"/>
      <c r="H165" s="7" t="s">
        <v>141</v>
      </c>
      <c r="I165" s="7" t="str">
        <f t="shared" si="30"/>
        <v>HITANO</v>
      </c>
      <c r="J165" s="7" t="str">
        <f t="shared" si="31"/>
        <v>100µF 250v</v>
      </c>
      <c r="K165" s="7"/>
      <c r="L165" s="7" t="str">
        <f t="shared" si="32"/>
        <v>ECR</v>
      </c>
      <c r="M165" s="31">
        <f t="shared" si="24"/>
        <v>16</v>
      </c>
      <c r="N165" s="31">
        <f t="shared" si="25"/>
        <v>32</v>
      </c>
      <c r="O165" s="8" t="str">
        <f t="shared" si="26"/>
        <v>Hitano-ECR</v>
      </c>
      <c r="P165" s="12" t="str">
        <f t="shared" si="22"/>
        <v>Hitano R-16.0x32.0</v>
      </c>
      <c r="Q165" s="12" t="str">
        <f t="shared" si="27"/>
        <v>100µF</v>
      </c>
      <c r="R165" s="12" t="str">
        <f t="shared" si="28"/>
        <v>250v</v>
      </c>
      <c r="S165" s="8" t="str">
        <f t="shared" si="23"/>
        <v>100µF 250v - R16.0-32.0 Hitano (ECR)</v>
      </c>
      <c r="T165" s="8">
        <f t="shared" si="29"/>
        <v>1</v>
      </c>
      <c r="U165" s="8" t="b">
        <f>NOT(ISNA(MATCH($P165,Packages!$A:$A,0)))</f>
        <v>1</v>
      </c>
    </row>
    <row r="166" spans="1:21" hidden="1">
      <c r="A166" s="6" t="s">
        <v>49</v>
      </c>
      <c r="B166" s="6" t="s">
        <v>50</v>
      </c>
      <c r="C166" s="33">
        <v>220</v>
      </c>
      <c r="D166" s="34">
        <v>250</v>
      </c>
      <c r="E166" s="6" t="s">
        <v>84</v>
      </c>
      <c r="F166" s="6" t="s">
        <v>59</v>
      </c>
      <c r="G166" s="6"/>
      <c r="H166" s="7" t="s">
        <v>141</v>
      </c>
      <c r="I166" s="7" t="str">
        <f t="shared" si="30"/>
        <v>HITANO</v>
      </c>
      <c r="J166" s="7" t="str">
        <f t="shared" si="31"/>
        <v>220µF 250v</v>
      </c>
      <c r="K166" s="7"/>
      <c r="L166" s="7" t="str">
        <f t="shared" si="32"/>
        <v>ECR</v>
      </c>
      <c r="M166" s="31">
        <f t="shared" si="24"/>
        <v>18</v>
      </c>
      <c r="N166" s="31">
        <f t="shared" si="25"/>
        <v>41</v>
      </c>
      <c r="O166" s="8" t="str">
        <f t="shared" si="26"/>
        <v>Hitano-ECR</v>
      </c>
      <c r="P166" s="12" t="str">
        <f t="shared" si="22"/>
        <v>Hitano R-18.0x41.0</v>
      </c>
      <c r="Q166" s="12" t="str">
        <f t="shared" si="27"/>
        <v>220µF</v>
      </c>
      <c r="R166" s="12" t="str">
        <f t="shared" si="28"/>
        <v>250v</v>
      </c>
      <c r="S166" s="8" t="str">
        <f t="shared" si="23"/>
        <v>220µF 250v - R18.0-41.0 Hitano (ECR)</v>
      </c>
      <c r="T166" s="8">
        <f t="shared" si="29"/>
        <v>1</v>
      </c>
      <c r="U166" s="8" t="b">
        <f>NOT(ISNA(MATCH($P166,Packages!$A:$A,0)))</f>
        <v>1</v>
      </c>
    </row>
    <row r="167" spans="1:21" hidden="1">
      <c r="A167" s="6" t="s">
        <v>49</v>
      </c>
      <c r="B167" s="6" t="s">
        <v>50</v>
      </c>
      <c r="C167" s="33">
        <v>220</v>
      </c>
      <c r="D167" s="34">
        <v>250</v>
      </c>
      <c r="E167" s="6" t="s">
        <v>102</v>
      </c>
      <c r="F167" s="6" t="s">
        <v>59</v>
      </c>
      <c r="G167" s="6"/>
      <c r="H167" s="7" t="s">
        <v>141</v>
      </c>
      <c r="I167" s="7" t="str">
        <f t="shared" si="30"/>
        <v>HITANO</v>
      </c>
      <c r="J167" s="7" t="str">
        <f t="shared" si="31"/>
        <v>220µF 250v</v>
      </c>
      <c r="K167" s="7"/>
      <c r="L167" s="7" t="str">
        <f t="shared" si="32"/>
        <v>ECR</v>
      </c>
      <c r="M167" s="31">
        <f t="shared" si="24"/>
        <v>22</v>
      </c>
      <c r="N167" s="31">
        <f t="shared" si="25"/>
        <v>30</v>
      </c>
      <c r="O167" s="8" t="str">
        <f t="shared" si="26"/>
        <v>Hitano-ECR</v>
      </c>
      <c r="P167" s="12" t="str">
        <f t="shared" si="22"/>
        <v>Hitano R-22.0x30.0</v>
      </c>
      <c r="Q167" s="12" t="str">
        <f t="shared" si="27"/>
        <v>220µF</v>
      </c>
      <c r="R167" s="12" t="str">
        <f t="shared" si="28"/>
        <v>250v</v>
      </c>
      <c r="S167" s="8" t="str">
        <f t="shared" si="23"/>
        <v>220µF 250v - R22.0-30.0 Hitano (ECR)</v>
      </c>
      <c r="T167" s="8">
        <f t="shared" si="29"/>
        <v>1</v>
      </c>
      <c r="U167" s="8" t="b">
        <f>NOT(ISNA(MATCH($P167,Packages!$A:$A,0)))</f>
        <v>1</v>
      </c>
    </row>
    <row r="168" spans="1:21" hidden="1">
      <c r="A168" s="6" t="s">
        <v>49</v>
      </c>
      <c r="B168" s="6" t="s">
        <v>50</v>
      </c>
      <c r="C168" s="33">
        <v>0.47</v>
      </c>
      <c r="D168" s="34">
        <v>350</v>
      </c>
      <c r="E168" s="6" t="s">
        <v>69</v>
      </c>
      <c r="F168" s="6" t="s">
        <v>59</v>
      </c>
      <c r="G168" s="6"/>
      <c r="H168" s="7" t="s">
        <v>141</v>
      </c>
      <c r="I168" s="7" t="str">
        <f t="shared" si="30"/>
        <v>HITANO</v>
      </c>
      <c r="J168" s="7" t="str">
        <f t="shared" si="31"/>
        <v>0.47µF 350v</v>
      </c>
      <c r="K168" s="7"/>
      <c r="L168" s="7" t="str">
        <f t="shared" si="32"/>
        <v>ECR</v>
      </c>
      <c r="M168" s="31">
        <f t="shared" si="24"/>
        <v>6.3</v>
      </c>
      <c r="N168" s="31">
        <f t="shared" si="25"/>
        <v>11</v>
      </c>
      <c r="O168" s="8" t="str">
        <f t="shared" si="26"/>
        <v>Hitano-ECR</v>
      </c>
      <c r="P168" s="12" t="str">
        <f t="shared" si="22"/>
        <v>Hitano R-06.0x11.0</v>
      </c>
      <c r="Q168" s="12" t="str">
        <f t="shared" si="27"/>
        <v>0.47µF</v>
      </c>
      <c r="R168" s="12" t="str">
        <f t="shared" si="28"/>
        <v>350v</v>
      </c>
      <c r="S168" s="8" t="str">
        <f t="shared" si="23"/>
        <v>0.47µF 350v - R06.3-11.0 Hitano (ECR)</v>
      </c>
      <c r="T168" s="8">
        <f t="shared" si="29"/>
        <v>1</v>
      </c>
      <c r="U168" s="8" t="b">
        <f>NOT(ISNA(MATCH($P168,Packages!$A:$A,0)))</f>
        <v>1</v>
      </c>
    </row>
    <row r="169" spans="1:21" hidden="1">
      <c r="A169" s="6" t="s">
        <v>49</v>
      </c>
      <c r="B169" s="6" t="s">
        <v>50</v>
      </c>
      <c r="C169" s="33">
        <v>1</v>
      </c>
      <c r="D169" s="34">
        <v>350</v>
      </c>
      <c r="E169" s="6" t="s">
        <v>69</v>
      </c>
      <c r="F169" s="6" t="s">
        <v>59</v>
      </c>
      <c r="G169" s="6"/>
      <c r="H169" s="7" t="s">
        <v>141</v>
      </c>
      <c r="I169" s="7" t="str">
        <f t="shared" si="30"/>
        <v>HITANO</v>
      </c>
      <c r="J169" s="7" t="str">
        <f t="shared" si="31"/>
        <v>1µF 350v</v>
      </c>
      <c r="K169" s="7"/>
      <c r="L169" s="7" t="str">
        <f t="shared" si="32"/>
        <v>ECR</v>
      </c>
      <c r="M169" s="31">
        <f t="shared" si="24"/>
        <v>6.3</v>
      </c>
      <c r="N169" s="31">
        <f t="shared" si="25"/>
        <v>11</v>
      </c>
      <c r="O169" s="8" t="str">
        <f t="shared" si="26"/>
        <v>Hitano-ECR</v>
      </c>
      <c r="P169" s="12" t="str">
        <f t="shared" si="22"/>
        <v>Hitano R-06.0x11.0</v>
      </c>
      <c r="Q169" s="12" t="str">
        <f t="shared" si="27"/>
        <v>1µF</v>
      </c>
      <c r="R169" s="12" t="str">
        <f t="shared" si="28"/>
        <v>350v</v>
      </c>
      <c r="S169" s="8" t="str">
        <f t="shared" si="23"/>
        <v>1µF 350v - R06.3-11.0 Hitano (ECR)</v>
      </c>
      <c r="T169" s="8">
        <f t="shared" si="29"/>
        <v>1</v>
      </c>
      <c r="U169" s="8" t="b">
        <f>NOT(ISNA(MATCH($P169,Packages!$A:$A,0)))</f>
        <v>1</v>
      </c>
    </row>
    <row r="170" spans="1:21" hidden="1">
      <c r="A170" s="6" t="s">
        <v>49</v>
      </c>
      <c r="B170" s="6" t="s">
        <v>50</v>
      </c>
      <c r="C170" s="33">
        <v>2.2000000000000002</v>
      </c>
      <c r="D170" s="34">
        <v>350</v>
      </c>
      <c r="E170" s="6" t="s">
        <v>71</v>
      </c>
      <c r="F170" s="6" t="s">
        <v>59</v>
      </c>
      <c r="G170" s="6"/>
      <c r="H170" s="7" t="s">
        <v>141</v>
      </c>
      <c r="I170" s="7" t="str">
        <f t="shared" si="30"/>
        <v>HITANO</v>
      </c>
      <c r="J170" s="7" t="str">
        <f t="shared" si="31"/>
        <v>2.2µF 350v</v>
      </c>
      <c r="K170" s="7"/>
      <c r="L170" s="7" t="str">
        <f t="shared" si="32"/>
        <v>ECR</v>
      </c>
      <c r="M170" s="31">
        <f t="shared" si="24"/>
        <v>8</v>
      </c>
      <c r="N170" s="31">
        <f t="shared" si="25"/>
        <v>12</v>
      </c>
      <c r="O170" s="8" t="str">
        <f t="shared" si="26"/>
        <v>Hitano-ECR</v>
      </c>
      <c r="P170" s="12" t="str">
        <f t="shared" si="22"/>
        <v>Hitano R-08.0x12.0</v>
      </c>
      <c r="Q170" s="12" t="str">
        <f t="shared" si="27"/>
        <v>2.2µF</v>
      </c>
      <c r="R170" s="12" t="str">
        <f t="shared" si="28"/>
        <v>350v</v>
      </c>
      <c r="S170" s="8" t="str">
        <f t="shared" si="23"/>
        <v>2.2µF 350v - R08.0-12.0 Hitano (ECR)</v>
      </c>
      <c r="T170" s="8">
        <f t="shared" si="29"/>
        <v>1</v>
      </c>
      <c r="U170" s="8" t="b">
        <f>NOT(ISNA(MATCH($P170,Packages!$A:$A,0)))</f>
        <v>1</v>
      </c>
    </row>
    <row r="171" spans="1:21" hidden="1">
      <c r="A171" s="6" t="s">
        <v>49</v>
      </c>
      <c r="B171" s="6" t="s">
        <v>50</v>
      </c>
      <c r="C171" s="33">
        <v>3.3</v>
      </c>
      <c r="D171" s="34">
        <v>350</v>
      </c>
      <c r="E171" s="6" t="s">
        <v>72</v>
      </c>
      <c r="F171" s="6" t="s">
        <v>59</v>
      </c>
      <c r="G171" s="6"/>
      <c r="H171" s="7" t="s">
        <v>141</v>
      </c>
      <c r="I171" s="7" t="str">
        <f t="shared" si="30"/>
        <v>HITANO</v>
      </c>
      <c r="J171" s="7" t="str">
        <f t="shared" si="31"/>
        <v>3.3µF 350v</v>
      </c>
      <c r="K171" s="7"/>
      <c r="L171" s="7" t="str">
        <f t="shared" si="32"/>
        <v>ECR</v>
      </c>
      <c r="M171" s="31">
        <f t="shared" si="24"/>
        <v>10</v>
      </c>
      <c r="N171" s="31">
        <f t="shared" si="25"/>
        <v>13</v>
      </c>
      <c r="O171" s="8" t="str">
        <f t="shared" si="26"/>
        <v>Hitano-ECR</v>
      </c>
      <c r="P171" s="12" t="str">
        <f t="shared" si="22"/>
        <v>Hitano R-10.0x13.0</v>
      </c>
      <c r="Q171" s="12" t="str">
        <f t="shared" si="27"/>
        <v>3.3µF</v>
      </c>
      <c r="R171" s="12" t="str">
        <f t="shared" si="28"/>
        <v>350v</v>
      </c>
      <c r="S171" s="8" t="str">
        <f t="shared" si="23"/>
        <v>3.3µF 350v - R10.0-13.0 Hitano (ECR)</v>
      </c>
      <c r="T171" s="8">
        <f t="shared" si="29"/>
        <v>1</v>
      </c>
      <c r="U171" s="8" t="b">
        <f>NOT(ISNA(MATCH($P171,Packages!$A:$A,0)))</f>
        <v>1</v>
      </c>
    </row>
    <row r="172" spans="1:21" hidden="1">
      <c r="A172" s="6" t="s">
        <v>49</v>
      </c>
      <c r="B172" s="6" t="s">
        <v>50</v>
      </c>
      <c r="C172" s="33">
        <v>4.7</v>
      </c>
      <c r="D172" s="34">
        <v>350</v>
      </c>
      <c r="E172" s="6" t="s">
        <v>72</v>
      </c>
      <c r="F172" s="6" t="s">
        <v>59</v>
      </c>
      <c r="G172" s="6"/>
      <c r="H172" s="7" t="s">
        <v>141</v>
      </c>
      <c r="I172" s="7" t="str">
        <f t="shared" si="30"/>
        <v>HITANO</v>
      </c>
      <c r="J172" s="7" t="str">
        <f t="shared" si="31"/>
        <v>4.7µF 350v</v>
      </c>
      <c r="K172" s="7"/>
      <c r="L172" s="7" t="str">
        <f t="shared" si="32"/>
        <v>ECR</v>
      </c>
      <c r="M172" s="31">
        <f t="shared" si="24"/>
        <v>10</v>
      </c>
      <c r="N172" s="31">
        <f t="shared" si="25"/>
        <v>13</v>
      </c>
      <c r="O172" s="8" t="str">
        <f t="shared" si="26"/>
        <v>Hitano-ECR</v>
      </c>
      <c r="P172" s="12" t="str">
        <f t="shared" si="22"/>
        <v>Hitano R-10.0x13.0</v>
      </c>
      <c r="Q172" s="12" t="str">
        <f t="shared" si="27"/>
        <v>4.7µF</v>
      </c>
      <c r="R172" s="12" t="str">
        <f t="shared" si="28"/>
        <v>350v</v>
      </c>
      <c r="S172" s="8" t="str">
        <f t="shared" si="23"/>
        <v>4.7µF 350v - R10.0-13.0 Hitano (ECR)</v>
      </c>
      <c r="T172" s="8">
        <f t="shared" si="29"/>
        <v>1</v>
      </c>
      <c r="U172" s="8" t="b">
        <f>NOT(ISNA(MATCH($P172,Packages!$A:$A,0)))</f>
        <v>1</v>
      </c>
    </row>
    <row r="173" spans="1:21" hidden="1">
      <c r="A173" s="6" t="s">
        <v>49</v>
      </c>
      <c r="B173" s="6" t="s">
        <v>50</v>
      </c>
      <c r="C173" s="33">
        <v>10</v>
      </c>
      <c r="D173" s="34">
        <v>350</v>
      </c>
      <c r="E173" s="6" t="s">
        <v>75</v>
      </c>
      <c r="F173" s="6" t="s">
        <v>59</v>
      </c>
      <c r="G173" s="6"/>
      <c r="H173" s="7" t="s">
        <v>141</v>
      </c>
      <c r="I173" s="7" t="str">
        <f t="shared" si="30"/>
        <v>HITANO</v>
      </c>
      <c r="J173" s="7" t="str">
        <f t="shared" si="31"/>
        <v>10µF 350v</v>
      </c>
      <c r="K173" s="7"/>
      <c r="L173" s="7" t="str">
        <f t="shared" si="32"/>
        <v>ECR</v>
      </c>
      <c r="M173" s="31">
        <f t="shared" si="24"/>
        <v>10</v>
      </c>
      <c r="N173" s="31">
        <f t="shared" si="25"/>
        <v>21</v>
      </c>
      <c r="O173" s="8" t="str">
        <f t="shared" si="26"/>
        <v>Hitano-ECR</v>
      </c>
      <c r="P173" s="12" t="str">
        <f t="shared" si="22"/>
        <v>Hitano R-10.0x21.0</v>
      </c>
      <c r="Q173" s="12" t="str">
        <f t="shared" si="27"/>
        <v>10µF</v>
      </c>
      <c r="R173" s="12" t="str">
        <f t="shared" si="28"/>
        <v>350v</v>
      </c>
      <c r="S173" s="8" t="str">
        <f t="shared" si="23"/>
        <v>10µF 350v - R10.0-21.0 Hitano (ECR)</v>
      </c>
      <c r="T173" s="8">
        <f t="shared" si="29"/>
        <v>1</v>
      </c>
      <c r="U173" s="8" t="b">
        <f>NOT(ISNA(MATCH($P173,Packages!$A:$A,0)))</f>
        <v>1</v>
      </c>
    </row>
    <row r="174" spans="1:21" hidden="1">
      <c r="A174" s="6" t="s">
        <v>49</v>
      </c>
      <c r="B174" s="6" t="s">
        <v>50</v>
      </c>
      <c r="C174" s="33">
        <v>22</v>
      </c>
      <c r="D174" s="34">
        <v>350</v>
      </c>
      <c r="E174" s="6" t="s">
        <v>76</v>
      </c>
      <c r="F174" s="6" t="s">
        <v>59</v>
      </c>
      <c r="G174" s="6"/>
      <c r="H174" s="7" t="s">
        <v>141</v>
      </c>
      <c r="I174" s="7" t="str">
        <f t="shared" si="30"/>
        <v>HITANO</v>
      </c>
      <c r="J174" s="7" t="str">
        <f t="shared" si="31"/>
        <v>22µF 350v</v>
      </c>
      <c r="K174" s="7"/>
      <c r="L174" s="7" t="str">
        <f t="shared" si="32"/>
        <v>ECR</v>
      </c>
      <c r="M174" s="31">
        <f t="shared" si="24"/>
        <v>13</v>
      </c>
      <c r="N174" s="31">
        <f t="shared" si="25"/>
        <v>21</v>
      </c>
      <c r="O174" s="8" t="str">
        <f t="shared" si="26"/>
        <v>Hitano-ECR</v>
      </c>
      <c r="P174" s="12" t="str">
        <f t="shared" si="22"/>
        <v>Hitano R-13.0x21.0</v>
      </c>
      <c r="Q174" s="12" t="str">
        <f t="shared" si="27"/>
        <v>22µF</v>
      </c>
      <c r="R174" s="12" t="str">
        <f t="shared" si="28"/>
        <v>350v</v>
      </c>
      <c r="S174" s="8" t="str">
        <f t="shared" si="23"/>
        <v>22µF 350v - R13.0-21.0 Hitano (ECR)</v>
      </c>
      <c r="T174" s="8">
        <f t="shared" si="29"/>
        <v>1</v>
      </c>
      <c r="U174" s="8" t="b">
        <f>NOT(ISNA(MATCH($P174,Packages!$A:$A,0)))</f>
        <v>1</v>
      </c>
    </row>
    <row r="175" spans="1:21" hidden="1">
      <c r="A175" s="6" t="s">
        <v>49</v>
      </c>
      <c r="B175" s="6" t="s">
        <v>50</v>
      </c>
      <c r="C175" s="33">
        <v>33</v>
      </c>
      <c r="D175" s="34">
        <v>350</v>
      </c>
      <c r="E175" s="6" t="s">
        <v>78</v>
      </c>
      <c r="F175" s="6" t="s">
        <v>59</v>
      </c>
      <c r="G175" s="6"/>
      <c r="H175" s="7" t="s">
        <v>141</v>
      </c>
      <c r="I175" s="7" t="str">
        <f t="shared" si="30"/>
        <v>HITANO</v>
      </c>
      <c r="J175" s="7" t="str">
        <f t="shared" si="31"/>
        <v>33µF 350v</v>
      </c>
      <c r="K175" s="7"/>
      <c r="L175" s="7" t="str">
        <f t="shared" si="32"/>
        <v>ECR</v>
      </c>
      <c r="M175" s="31">
        <f t="shared" si="24"/>
        <v>16</v>
      </c>
      <c r="N175" s="31">
        <f t="shared" si="25"/>
        <v>26</v>
      </c>
      <c r="O175" s="8" t="str">
        <f t="shared" si="26"/>
        <v>Hitano-ECR</v>
      </c>
      <c r="P175" s="12" t="str">
        <f t="shared" si="22"/>
        <v>Hitano R-16.0x26.0</v>
      </c>
      <c r="Q175" s="12" t="str">
        <f t="shared" si="27"/>
        <v>33µF</v>
      </c>
      <c r="R175" s="12" t="str">
        <f t="shared" si="28"/>
        <v>350v</v>
      </c>
      <c r="S175" s="8" t="str">
        <f t="shared" si="23"/>
        <v>33µF 350v - R16.0-26.0 Hitano (ECR)</v>
      </c>
      <c r="T175" s="8">
        <f t="shared" si="29"/>
        <v>1</v>
      </c>
      <c r="U175" s="8" t="b">
        <f>NOT(ISNA(MATCH($P175,Packages!$A:$A,0)))</f>
        <v>1</v>
      </c>
    </row>
    <row r="176" spans="1:21" hidden="1">
      <c r="A176" s="6" t="s">
        <v>49</v>
      </c>
      <c r="B176" s="6" t="s">
        <v>50</v>
      </c>
      <c r="C176" s="33">
        <v>47</v>
      </c>
      <c r="D176" s="34">
        <v>350</v>
      </c>
      <c r="E176" s="6" t="s">
        <v>81</v>
      </c>
      <c r="F176" s="6" t="s">
        <v>59</v>
      </c>
      <c r="G176" s="6"/>
      <c r="H176" s="7" t="s">
        <v>141</v>
      </c>
      <c r="I176" s="7" t="str">
        <f t="shared" si="30"/>
        <v>HITANO</v>
      </c>
      <c r="J176" s="7" t="str">
        <f t="shared" si="31"/>
        <v>47µF 350v</v>
      </c>
      <c r="K176" s="7"/>
      <c r="L176" s="7" t="str">
        <f t="shared" si="32"/>
        <v>ECR</v>
      </c>
      <c r="M176" s="31">
        <f t="shared" si="24"/>
        <v>16</v>
      </c>
      <c r="N176" s="31">
        <f t="shared" si="25"/>
        <v>32</v>
      </c>
      <c r="O176" s="8" t="str">
        <f t="shared" si="26"/>
        <v>Hitano-ECR</v>
      </c>
      <c r="P176" s="12" t="str">
        <f t="shared" si="22"/>
        <v>Hitano R-16.0x32.0</v>
      </c>
      <c r="Q176" s="12" t="str">
        <f t="shared" si="27"/>
        <v>47µF</v>
      </c>
      <c r="R176" s="12" t="str">
        <f t="shared" si="28"/>
        <v>350v</v>
      </c>
      <c r="S176" s="8" t="str">
        <f t="shared" si="23"/>
        <v>47µF 350v - R16.0-32.0 Hitano (ECR)</v>
      </c>
      <c r="T176" s="8">
        <f t="shared" si="29"/>
        <v>1</v>
      </c>
      <c r="U176" s="8" t="b">
        <f>NOT(ISNA(MATCH($P176,Packages!$A:$A,0)))</f>
        <v>1</v>
      </c>
    </row>
    <row r="177" spans="1:21" hidden="1">
      <c r="A177" s="6" t="s">
        <v>49</v>
      </c>
      <c r="B177" s="6" t="s">
        <v>50</v>
      </c>
      <c r="C177" s="33">
        <v>100</v>
      </c>
      <c r="D177" s="34">
        <v>350</v>
      </c>
      <c r="E177" s="6" t="s">
        <v>84</v>
      </c>
      <c r="F177" s="6" t="s">
        <v>59</v>
      </c>
      <c r="G177" s="6"/>
      <c r="H177" s="7" t="s">
        <v>141</v>
      </c>
      <c r="I177" s="7" t="str">
        <f t="shared" si="30"/>
        <v>HITANO</v>
      </c>
      <c r="J177" s="7" t="str">
        <f t="shared" si="31"/>
        <v>100µF 350v</v>
      </c>
      <c r="K177" s="7"/>
      <c r="L177" s="7" t="str">
        <f t="shared" si="32"/>
        <v>ECR</v>
      </c>
      <c r="M177" s="31">
        <f t="shared" si="24"/>
        <v>18</v>
      </c>
      <c r="N177" s="31">
        <f t="shared" si="25"/>
        <v>41</v>
      </c>
      <c r="O177" s="8" t="str">
        <f t="shared" si="26"/>
        <v>Hitano-ECR</v>
      </c>
      <c r="P177" s="12" t="str">
        <f t="shared" si="22"/>
        <v>Hitano R-18.0x41.0</v>
      </c>
      <c r="Q177" s="12" t="str">
        <f t="shared" si="27"/>
        <v>100µF</v>
      </c>
      <c r="R177" s="12" t="str">
        <f t="shared" si="28"/>
        <v>350v</v>
      </c>
      <c r="S177" s="8" t="str">
        <f t="shared" si="23"/>
        <v>100µF 350v - R18.0-41.0 Hitano (ECR)</v>
      </c>
      <c r="T177" s="8">
        <f t="shared" si="29"/>
        <v>1</v>
      </c>
      <c r="U177" s="8" t="b">
        <f>NOT(ISNA(MATCH($P177,Packages!$A:$A,0)))</f>
        <v>1</v>
      </c>
    </row>
    <row r="178" spans="1:21" hidden="1">
      <c r="A178" s="6" t="s">
        <v>49</v>
      </c>
      <c r="B178" s="6" t="s">
        <v>50</v>
      </c>
      <c r="C178" s="33">
        <v>0.47</v>
      </c>
      <c r="D178" s="34">
        <v>400</v>
      </c>
      <c r="E178" s="6" t="s">
        <v>69</v>
      </c>
      <c r="F178" s="6" t="s">
        <v>59</v>
      </c>
      <c r="G178" s="6"/>
      <c r="H178" s="7" t="s">
        <v>141</v>
      </c>
      <c r="I178" s="7" t="str">
        <f t="shared" si="30"/>
        <v>HITANO</v>
      </c>
      <c r="J178" s="7" t="str">
        <f t="shared" si="31"/>
        <v>0.47µF 400v</v>
      </c>
      <c r="K178" s="7"/>
      <c r="L178" s="7" t="str">
        <f t="shared" si="32"/>
        <v>ECR</v>
      </c>
      <c r="M178" s="31">
        <f t="shared" si="24"/>
        <v>6.3</v>
      </c>
      <c r="N178" s="31">
        <f t="shared" si="25"/>
        <v>11</v>
      </c>
      <c r="O178" s="8" t="str">
        <f t="shared" si="26"/>
        <v>Hitano-ECR</v>
      </c>
      <c r="P178" s="12" t="str">
        <f t="shared" si="22"/>
        <v>Hitano R-06.0x11.0</v>
      </c>
      <c r="Q178" s="12" t="str">
        <f t="shared" si="27"/>
        <v>0.47µF</v>
      </c>
      <c r="R178" s="12" t="str">
        <f t="shared" si="28"/>
        <v>400v</v>
      </c>
      <c r="S178" s="8" t="str">
        <f t="shared" si="23"/>
        <v>0.47µF 400v - R06.3-11.0 Hitano (ECR)</v>
      </c>
      <c r="T178" s="8">
        <f t="shared" si="29"/>
        <v>1</v>
      </c>
      <c r="U178" s="8" t="b">
        <f>NOT(ISNA(MATCH($P178,Packages!$A:$A,0)))</f>
        <v>1</v>
      </c>
    </row>
    <row r="179" spans="1:21" hidden="1">
      <c r="A179" s="6" t="s">
        <v>49</v>
      </c>
      <c r="B179" s="6" t="s">
        <v>50</v>
      </c>
      <c r="C179" s="33">
        <v>1</v>
      </c>
      <c r="D179" s="34">
        <v>400</v>
      </c>
      <c r="E179" s="6" t="s">
        <v>71</v>
      </c>
      <c r="F179" s="6" t="s">
        <v>59</v>
      </c>
      <c r="G179" s="6"/>
      <c r="H179" s="7" t="s">
        <v>141</v>
      </c>
      <c r="I179" s="7" t="str">
        <f t="shared" si="30"/>
        <v>HITANO</v>
      </c>
      <c r="J179" s="7" t="str">
        <f t="shared" si="31"/>
        <v>1µF 400v</v>
      </c>
      <c r="K179" s="7"/>
      <c r="L179" s="7" t="str">
        <f t="shared" si="32"/>
        <v>ECR</v>
      </c>
      <c r="M179" s="31">
        <f t="shared" si="24"/>
        <v>8</v>
      </c>
      <c r="N179" s="31">
        <f t="shared" si="25"/>
        <v>12</v>
      </c>
      <c r="O179" s="8" t="str">
        <f t="shared" si="26"/>
        <v>Hitano-ECR</v>
      </c>
      <c r="P179" s="12" t="str">
        <f t="shared" si="22"/>
        <v>Hitano R-08.0x12.0</v>
      </c>
      <c r="Q179" s="12" t="str">
        <f t="shared" si="27"/>
        <v>1µF</v>
      </c>
      <c r="R179" s="12" t="str">
        <f t="shared" si="28"/>
        <v>400v</v>
      </c>
      <c r="S179" s="8" t="str">
        <f t="shared" si="23"/>
        <v>1µF 400v - R08.0-12.0 Hitano (ECR)</v>
      </c>
      <c r="T179" s="8">
        <f t="shared" si="29"/>
        <v>1</v>
      </c>
      <c r="U179" s="8" t="b">
        <f>NOT(ISNA(MATCH($P179,Packages!$A:$A,0)))</f>
        <v>1</v>
      </c>
    </row>
    <row r="180" spans="1:21" hidden="1">
      <c r="A180" s="6" t="s">
        <v>49</v>
      </c>
      <c r="B180" s="6" t="s">
        <v>50</v>
      </c>
      <c r="C180" s="33">
        <v>2.2000000000000002</v>
      </c>
      <c r="D180" s="34">
        <v>400</v>
      </c>
      <c r="E180" s="6" t="s">
        <v>71</v>
      </c>
      <c r="F180" s="6" t="s">
        <v>59</v>
      </c>
      <c r="G180" s="6"/>
      <c r="H180" s="7" t="s">
        <v>141</v>
      </c>
      <c r="I180" s="7" t="str">
        <f t="shared" si="30"/>
        <v>HITANO</v>
      </c>
      <c r="J180" s="7" t="str">
        <f t="shared" si="31"/>
        <v>2.2µF 400v</v>
      </c>
      <c r="K180" s="7"/>
      <c r="L180" s="7" t="str">
        <f t="shared" si="32"/>
        <v>ECR</v>
      </c>
      <c r="M180" s="31">
        <f t="shared" si="24"/>
        <v>8</v>
      </c>
      <c r="N180" s="31">
        <f t="shared" si="25"/>
        <v>12</v>
      </c>
      <c r="O180" s="8" t="str">
        <f t="shared" si="26"/>
        <v>Hitano-ECR</v>
      </c>
      <c r="P180" s="12" t="str">
        <f t="shared" si="22"/>
        <v>Hitano R-08.0x12.0</v>
      </c>
      <c r="Q180" s="12" t="str">
        <f t="shared" si="27"/>
        <v>2.2µF</v>
      </c>
      <c r="R180" s="12" t="str">
        <f t="shared" si="28"/>
        <v>400v</v>
      </c>
      <c r="S180" s="8" t="str">
        <f t="shared" si="23"/>
        <v>2.2µF 400v - R08.0-12.0 Hitano (ECR)</v>
      </c>
      <c r="T180" s="8">
        <f t="shared" si="29"/>
        <v>1</v>
      </c>
      <c r="U180" s="8" t="b">
        <f>NOT(ISNA(MATCH($P180,Packages!$A:$A,0)))</f>
        <v>1</v>
      </c>
    </row>
    <row r="181" spans="1:21" hidden="1">
      <c r="A181" s="6" t="s">
        <v>49</v>
      </c>
      <c r="B181" s="6" t="s">
        <v>50</v>
      </c>
      <c r="C181" s="33">
        <v>2.2000000000000002</v>
      </c>
      <c r="D181" s="34">
        <v>400</v>
      </c>
      <c r="E181" s="6" t="s">
        <v>72</v>
      </c>
      <c r="F181" s="6" t="s">
        <v>59</v>
      </c>
      <c r="G181" s="6"/>
      <c r="H181" s="7" t="s">
        <v>141</v>
      </c>
      <c r="I181" s="7" t="str">
        <f t="shared" si="30"/>
        <v>HITANO</v>
      </c>
      <c r="J181" s="7" t="str">
        <f t="shared" si="31"/>
        <v>2.2µF 400v</v>
      </c>
      <c r="K181" s="7"/>
      <c r="L181" s="7" t="str">
        <f t="shared" si="32"/>
        <v>ECR</v>
      </c>
      <c r="M181" s="31">
        <f t="shared" si="24"/>
        <v>10</v>
      </c>
      <c r="N181" s="31">
        <f t="shared" si="25"/>
        <v>13</v>
      </c>
      <c r="O181" s="8" t="str">
        <f t="shared" si="26"/>
        <v>Hitano-ECR</v>
      </c>
      <c r="P181" s="12" t="str">
        <f t="shared" si="22"/>
        <v>Hitano R-10.0x13.0</v>
      </c>
      <c r="Q181" s="12" t="str">
        <f t="shared" si="27"/>
        <v>2.2µF</v>
      </c>
      <c r="R181" s="12" t="str">
        <f t="shared" si="28"/>
        <v>400v</v>
      </c>
      <c r="S181" s="8" t="str">
        <f t="shared" si="23"/>
        <v>2.2µF 400v - R10.0-13.0 Hitano (ECR)</v>
      </c>
      <c r="T181" s="8">
        <f t="shared" si="29"/>
        <v>1</v>
      </c>
      <c r="U181" s="8" t="b">
        <f>NOT(ISNA(MATCH($P181,Packages!$A:$A,0)))</f>
        <v>1</v>
      </c>
    </row>
    <row r="182" spans="1:21" hidden="1">
      <c r="A182" s="6" t="s">
        <v>49</v>
      </c>
      <c r="B182" s="6" t="s">
        <v>50</v>
      </c>
      <c r="C182" s="33">
        <v>3.3</v>
      </c>
      <c r="D182" s="34">
        <v>400</v>
      </c>
      <c r="E182" s="6" t="s">
        <v>72</v>
      </c>
      <c r="F182" s="6" t="s">
        <v>59</v>
      </c>
      <c r="G182" s="6"/>
      <c r="H182" s="7" t="s">
        <v>141</v>
      </c>
      <c r="I182" s="7" t="str">
        <f t="shared" si="30"/>
        <v>HITANO</v>
      </c>
      <c r="J182" s="7" t="str">
        <f t="shared" si="31"/>
        <v>3.3µF 400v</v>
      </c>
      <c r="K182" s="7"/>
      <c r="L182" s="7" t="str">
        <f t="shared" si="32"/>
        <v>ECR</v>
      </c>
      <c r="M182" s="31">
        <f t="shared" si="24"/>
        <v>10</v>
      </c>
      <c r="N182" s="31">
        <f t="shared" si="25"/>
        <v>13</v>
      </c>
      <c r="O182" s="8" t="str">
        <f t="shared" si="26"/>
        <v>Hitano-ECR</v>
      </c>
      <c r="P182" s="12" t="str">
        <f t="shared" si="22"/>
        <v>Hitano R-10.0x13.0</v>
      </c>
      <c r="Q182" s="12" t="str">
        <f t="shared" si="27"/>
        <v>3.3µF</v>
      </c>
      <c r="R182" s="12" t="str">
        <f t="shared" si="28"/>
        <v>400v</v>
      </c>
      <c r="S182" s="8" t="str">
        <f t="shared" si="23"/>
        <v>3.3µF 400v - R10.0-13.0 Hitano (ECR)</v>
      </c>
      <c r="T182" s="8">
        <f t="shared" si="29"/>
        <v>1</v>
      </c>
      <c r="U182" s="8" t="b">
        <f>NOT(ISNA(MATCH($P182,Packages!$A:$A,0)))</f>
        <v>1</v>
      </c>
    </row>
    <row r="183" spans="1:21" hidden="1">
      <c r="A183" s="6" t="s">
        <v>49</v>
      </c>
      <c r="B183" s="6" t="s">
        <v>50</v>
      </c>
      <c r="C183" s="33">
        <v>4.7</v>
      </c>
      <c r="D183" s="34">
        <v>400</v>
      </c>
      <c r="E183" s="6" t="s">
        <v>74</v>
      </c>
      <c r="F183" s="6" t="s">
        <v>59</v>
      </c>
      <c r="G183" s="6"/>
      <c r="H183" s="7" t="s">
        <v>141</v>
      </c>
      <c r="I183" s="7" t="str">
        <f t="shared" si="30"/>
        <v>HITANO</v>
      </c>
      <c r="J183" s="7" t="str">
        <f t="shared" si="31"/>
        <v>4.7µF 400v</v>
      </c>
      <c r="K183" s="7"/>
      <c r="L183" s="7" t="str">
        <f t="shared" si="32"/>
        <v>ECR</v>
      </c>
      <c r="M183" s="31">
        <f t="shared" si="24"/>
        <v>10</v>
      </c>
      <c r="N183" s="31">
        <f t="shared" si="25"/>
        <v>16</v>
      </c>
      <c r="O183" s="8" t="str">
        <f t="shared" si="26"/>
        <v>Hitano-ECR</v>
      </c>
      <c r="P183" s="12" t="str">
        <f t="shared" si="22"/>
        <v>Hitano R-10.0x16.0</v>
      </c>
      <c r="Q183" s="12" t="str">
        <f t="shared" si="27"/>
        <v>4.7µF</v>
      </c>
      <c r="R183" s="12" t="str">
        <f t="shared" si="28"/>
        <v>400v</v>
      </c>
      <c r="S183" s="8" t="str">
        <f t="shared" si="23"/>
        <v>4.7µF 400v - R10.0-16.0 Hitano (ECR)</v>
      </c>
      <c r="T183" s="8">
        <f t="shared" si="29"/>
        <v>1</v>
      </c>
      <c r="U183" s="8" t="b">
        <f>NOT(ISNA(MATCH($P183,Packages!$A:$A,0)))</f>
        <v>1</v>
      </c>
    </row>
    <row r="184" spans="1:21" hidden="1">
      <c r="A184" s="6" t="s">
        <v>49</v>
      </c>
      <c r="B184" s="6" t="s">
        <v>50</v>
      </c>
      <c r="C184" s="33">
        <v>10</v>
      </c>
      <c r="D184" s="34">
        <v>400</v>
      </c>
      <c r="E184" s="6" t="s">
        <v>75</v>
      </c>
      <c r="F184" s="6" t="s">
        <v>59</v>
      </c>
      <c r="G184" s="6"/>
      <c r="H184" s="7" t="s">
        <v>141</v>
      </c>
      <c r="I184" s="7" t="str">
        <f t="shared" si="30"/>
        <v>HITANO</v>
      </c>
      <c r="J184" s="7" t="str">
        <f t="shared" si="31"/>
        <v>10µF 400v</v>
      </c>
      <c r="K184" s="7"/>
      <c r="L184" s="7" t="str">
        <f t="shared" si="32"/>
        <v>ECR</v>
      </c>
      <c r="M184" s="31">
        <f t="shared" si="24"/>
        <v>10</v>
      </c>
      <c r="N184" s="31">
        <f t="shared" si="25"/>
        <v>21</v>
      </c>
      <c r="O184" s="8" t="str">
        <f t="shared" si="26"/>
        <v>Hitano-ECR</v>
      </c>
      <c r="P184" s="12" t="str">
        <f t="shared" si="22"/>
        <v>Hitano R-10.0x21.0</v>
      </c>
      <c r="Q184" s="12" t="str">
        <f t="shared" si="27"/>
        <v>10µF</v>
      </c>
      <c r="R184" s="12" t="str">
        <f t="shared" si="28"/>
        <v>400v</v>
      </c>
      <c r="S184" s="8" t="str">
        <f t="shared" si="23"/>
        <v>10µF 400v - R10.0-21.0 Hitano (ECR)</v>
      </c>
      <c r="T184" s="8">
        <f t="shared" si="29"/>
        <v>1</v>
      </c>
      <c r="U184" s="8" t="b">
        <f>NOT(ISNA(MATCH($P184,Packages!$A:$A,0)))</f>
        <v>1</v>
      </c>
    </row>
    <row r="185" spans="1:21" hidden="1">
      <c r="A185" s="6" t="s">
        <v>49</v>
      </c>
      <c r="B185" s="6" t="s">
        <v>50</v>
      </c>
      <c r="C185" s="33">
        <v>10</v>
      </c>
      <c r="D185" s="34">
        <v>400</v>
      </c>
      <c r="E185" s="6" t="s">
        <v>76</v>
      </c>
      <c r="F185" s="6" t="s">
        <v>59</v>
      </c>
      <c r="G185" s="6"/>
      <c r="H185" s="7" t="s">
        <v>141</v>
      </c>
      <c r="I185" s="7" t="str">
        <f t="shared" si="30"/>
        <v>HITANO</v>
      </c>
      <c r="J185" s="7" t="str">
        <f t="shared" si="31"/>
        <v>10µF 400v</v>
      </c>
      <c r="K185" s="7"/>
      <c r="L185" s="7" t="str">
        <f t="shared" si="32"/>
        <v>ECR</v>
      </c>
      <c r="M185" s="31">
        <f t="shared" si="24"/>
        <v>13</v>
      </c>
      <c r="N185" s="31">
        <f t="shared" si="25"/>
        <v>21</v>
      </c>
      <c r="O185" s="8" t="str">
        <f t="shared" si="26"/>
        <v>Hitano-ECR</v>
      </c>
      <c r="P185" s="12" t="str">
        <f t="shared" si="22"/>
        <v>Hitano R-13.0x21.0</v>
      </c>
      <c r="Q185" s="12" t="str">
        <f t="shared" si="27"/>
        <v>10µF</v>
      </c>
      <c r="R185" s="12" t="str">
        <f t="shared" si="28"/>
        <v>400v</v>
      </c>
      <c r="S185" s="8" t="str">
        <f t="shared" si="23"/>
        <v>10µF 400v - R13.0-21.0 Hitano (ECR)</v>
      </c>
      <c r="T185" s="8">
        <f t="shared" si="29"/>
        <v>1</v>
      </c>
      <c r="U185" s="8" t="b">
        <f>NOT(ISNA(MATCH($P185,Packages!$A:$A,0)))</f>
        <v>1</v>
      </c>
    </row>
    <row r="186" spans="1:21" hidden="1">
      <c r="A186" s="6" t="s">
        <v>49</v>
      </c>
      <c r="B186" s="6" t="s">
        <v>50</v>
      </c>
      <c r="C186" s="33">
        <v>22</v>
      </c>
      <c r="D186" s="34">
        <v>400</v>
      </c>
      <c r="E186" s="6" t="s">
        <v>77</v>
      </c>
      <c r="F186" s="6" t="s">
        <v>59</v>
      </c>
      <c r="G186" s="6"/>
      <c r="H186" s="7" t="s">
        <v>141</v>
      </c>
      <c r="I186" s="7" t="str">
        <f t="shared" si="30"/>
        <v>HITANO</v>
      </c>
      <c r="J186" s="7" t="str">
        <f t="shared" si="31"/>
        <v>22µF 400v</v>
      </c>
      <c r="K186" s="7"/>
      <c r="L186" s="7" t="str">
        <f t="shared" si="32"/>
        <v>ECR</v>
      </c>
      <c r="M186" s="31">
        <f t="shared" si="24"/>
        <v>13</v>
      </c>
      <c r="N186" s="31">
        <f t="shared" si="25"/>
        <v>26</v>
      </c>
      <c r="O186" s="8" t="str">
        <f t="shared" si="26"/>
        <v>Hitano-ECR</v>
      </c>
      <c r="P186" s="12" t="str">
        <f t="shared" si="22"/>
        <v>Hitano R-13.0x26.0</v>
      </c>
      <c r="Q186" s="12" t="str">
        <f t="shared" si="27"/>
        <v>22µF</v>
      </c>
      <c r="R186" s="12" t="str">
        <f t="shared" si="28"/>
        <v>400v</v>
      </c>
      <c r="S186" s="8" t="str">
        <f t="shared" si="23"/>
        <v>22µF 400v - R13.0-26.0 Hitano (ECR)</v>
      </c>
      <c r="T186" s="8">
        <f t="shared" si="29"/>
        <v>1</v>
      </c>
      <c r="U186" s="8" t="b">
        <f>NOT(ISNA(MATCH($P186,Packages!$A:$A,0)))</f>
        <v>1</v>
      </c>
    </row>
    <row r="187" spans="1:21" hidden="1">
      <c r="A187" s="6" t="s">
        <v>49</v>
      </c>
      <c r="B187" s="6" t="s">
        <v>50</v>
      </c>
      <c r="C187" s="33">
        <v>33</v>
      </c>
      <c r="D187" s="34">
        <v>400</v>
      </c>
      <c r="E187" s="6" t="s">
        <v>78</v>
      </c>
      <c r="F187" s="6" t="s">
        <v>59</v>
      </c>
      <c r="G187" s="6"/>
      <c r="H187" s="7" t="s">
        <v>141</v>
      </c>
      <c r="I187" s="7" t="str">
        <f t="shared" si="30"/>
        <v>HITANO</v>
      </c>
      <c r="J187" s="7" t="str">
        <f t="shared" si="31"/>
        <v>33µF 400v</v>
      </c>
      <c r="K187" s="7"/>
      <c r="L187" s="7" t="str">
        <f t="shared" si="32"/>
        <v>ECR</v>
      </c>
      <c r="M187" s="31">
        <f t="shared" si="24"/>
        <v>16</v>
      </c>
      <c r="N187" s="31">
        <f t="shared" si="25"/>
        <v>26</v>
      </c>
      <c r="O187" s="8" t="str">
        <f t="shared" si="26"/>
        <v>Hitano-ECR</v>
      </c>
      <c r="P187" s="12" t="str">
        <f t="shared" si="22"/>
        <v>Hitano R-16.0x26.0</v>
      </c>
      <c r="Q187" s="12" t="str">
        <f t="shared" si="27"/>
        <v>33µF</v>
      </c>
      <c r="R187" s="12" t="str">
        <f t="shared" si="28"/>
        <v>400v</v>
      </c>
      <c r="S187" s="8" t="str">
        <f t="shared" si="23"/>
        <v>33µF 400v - R16.0-26.0 Hitano (ECR)</v>
      </c>
      <c r="T187" s="8">
        <f t="shared" si="29"/>
        <v>1</v>
      </c>
      <c r="U187" s="8" t="b">
        <f>NOT(ISNA(MATCH($P187,Packages!$A:$A,0)))</f>
        <v>1</v>
      </c>
    </row>
    <row r="188" spans="1:21" hidden="1">
      <c r="A188" s="6" t="s">
        <v>49</v>
      </c>
      <c r="B188" s="6" t="s">
        <v>50</v>
      </c>
      <c r="C188" s="33">
        <v>47</v>
      </c>
      <c r="D188" s="34">
        <v>400</v>
      </c>
      <c r="E188" s="6" t="s">
        <v>81</v>
      </c>
      <c r="F188" s="6" t="s">
        <v>59</v>
      </c>
      <c r="G188" s="6"/>
      <c r="H188" s="7" t="s">
        <v>141</v>
      </c>
      <c r="I188" s="7" t="str">
        <f t="shared" si="30"/>
        <v>HITANO</v>
      </c>
      <c r="J188" s="7" t="str">
        <f t="shared" si="31"/>
        <v>47µF 400v</v>
      </c>
      <c r="K188" s="7"/>
      <c r="L188" s="7" t="str">
        <f t="shared" si="32"/>
        <v>ECR</v>
      </c>
      <c r="M188" s="31">
        <f t="shared" si="24"/>
        <v>16</v>
      </c>
      <c r="N188" s="31">
        <f t="shared" si="25"/>
        <v>32</v>
      </c>
      <c r="O188" s="8" t="str">
        <f t="shared" si="26"/>
        <v>Hitano-ECR</v>
      </c>
      <c r="P188" s="12" t="str">
        <f t="shared" si="22"/>
        <v>Hitano R-16.0x32.0</v>
      </c>
      <c r="Q188" s="12" t="str">
        <f t="shared" si="27"/>
        <v>47µF</v>
      </c>
      <c r="R188" s="12" t="str">
        <f t="shared" si="28"/>
        <v>400v</v>
      </c>
      <c r="S188" s="8" t="str">
        <f t="shared" si="23"/>
        <v>47µF 400v - R16.0-32.0 Hitano (ECR)</v>
      </c>
      <c r="T188" s="8">
        <f t="shared" si="29"/>
        <v>1</v>
      </c>
      <c r="U188" s="8" t="b">
        <f>NOT(ISNA(MATCH($P188,Packages!$A:$A,0)))</f>
        <v>1</v>
      </c>
    </row>
    <row r="189" spans="1:21" hidden="1">
      <c r="A189" s="6" t="s">
        <v>49</v>
      </c>
      <c r="B189" s="6" t="s">
        <v>50</v>
      </c>
      <c r="C189" s="33">
        <v>100</v>
      </c>
      <c r="D189" s="34">
        <v>400</v>
      </c>
      <c r="E189" s="6" t="s">
        <v>84</v>
      </c>
      <c r="F189" s="6" t="s">
        <v>59</v>
      </c>
      <c r="G189" s="6"/>
      <c r="H189" s="7" t="s">
        <v>141</v>
      </c>
      <c r="I189" s="7" t="str">
        <f t="shared" si="30"/>
        <v>HITANO</v>
      </c>
      <c r="J189" s="7" t="str">
        <f t="shared" si="31"/>
        <v>100µF 400v</v>
      </c>
      <c r="K189" s="7"/>
      <c r="L189" s="7" t="str">
        <f t="shared" si="32"/>
        <v>ECR</v>
      </c>
      <c r="M189" s="31">
        <f t="shared" si="24"/>
        <v>18</v>
      </c>
      <c r="N189" s="31">
        <f t="shared" si="25"/>
        <v>41</v>
      </c>
      <c r="O189" s="8" t="str">
        <f t="shared" si="26"/>
        <v>Hitano-ECR</v>
      </c>
      <c r="P189" s="12" t="str">
        <f t="shared" si="22"/>
        <v>Hitano R-18.0x41.0</v>
      </c>
      <c r="Q189" s="12" t="str">
        <f t="shared" si="27"/>
        <v>100µF</v>
      </c>
      <c r="R189" s="12" t="str">
        <f t="shared" si="28"/>
        <v>400v</v>
      </c>
      <c r="S189" s="8" t="str">
        <f t="shared" si="23"/>
        <v>100µF 400v - R18.0-41.0 Hitano (ECR)</v>
      </c>
      <c r="T189" s="8">
        <f t="shared" si="29"/>
        <v>1</v>
      </c>
      <c r="U189" s="8" t="b">
        <f>NOT(ISNA(MATCH($P189,Packages!$A:$A,0)))</f>
        <v>1</v>
      </c>
    </row>
    <row r="190" spans="1:21" hidden="1">
      <c r="A190" s="6" t="s">
        <v>49</v>
      </c>
      <c r="B190" s="6" t="s">
        <v>50</v>
      </c>
      <c r="C190" s="33">
        <v>0.47</v>
      </c>
      <c r="D190" s="34">
        <v>450</v>
      </c>
      <c r="E190" s="6" t="s">
        <v>69</v>
      </c>
      <c r="F190" s="6" t="s">
        <v>59</v>
      </c>
      <c r="G190" s="6"/>
      <c r="H190" s="7" t="s">
        <v>141</v>
      </c>
      <c r="I190" s="7" t="str">
        <f t="shared" si="30"/>
        <v>HITANO</v>
      </c>
      <c r="J190" s="7" t="str">
        <f t="shared" si="31"/>
        <v>0.47µF 450v</v>
      </c>
      <c r="K190" s="7"/>
      <c r="L190" s="7" t="str">
        <f t="shared" si="32"/>
        <v>ECR</v>
      </c>
      <c r="M190" s="31">
        <f t="shared" si="24"/>
        <v>6.3</v>
      </c>
      <c r="N190" s="31">
        <f t="shared" si="25"/>
        <v>11</v>
      </c>
      <c r="O190" s="8" t="str">
        <f t="shared" si="26"/>
        <v>Hitano-ECR</v>
      </c>
      <c r="P190" s="12" t="str">
        <f t="shared" si="22"/>
        <v>Hitano R-06.0x11.0</v>
      </c>
      <c r="Q190" s="12" t="str">
        <f t="shared" si="27"/>
        <v>0.47µF</v>
      </c>
      <c r="R190" s="12" t="str">
        <f t="shared" si="28"/>
        <v>450v</v>
      </c>
      <c r="S190" s="8" t="str">
        <f t="shared" si="23"/>
        <v>0.47µF 450v - R06.3-11.0 Hitano (ECR)</v>
      </c>
      <c r="T190" s="8">
        <f t="shared" si="29"/>
        <v>1</v>
      </c>
      <c r="U190" s="8" t="b">
        <f>NOT(ISNA(MATCH($P190,Packages!$A:$A,0)))</f>
        <v>1</v>
      </c>
    </row>
    <row r="191" spans="1:21" hidden="1">
      <c r="A191" s="6" t="s">
        <v>49</v>
      </c>
      <c r="B191" s="6" t="s">
        <v>50</v>
      </c>
      <c r="C191" s="33">
        <v>1</v>
      </c>
      <c r="D191" s="34">
        <v>450</v>
      </c>
      <c r="E191" s="6" t="s">
        <v>71</v>
      </c>
      <c r="F191" s="6" t="s">
        <v>59</v>
      </c>
      <c r="G191" s="6"/>
      <c r="H191" s="7" t="s">
        <v>141</v>
      </c>
      <c r="I191" s="7" t="str">
        <f t="shared" si="30"/>
        <v>HITANO</v>
      </c>
      <c r="J191" s="7" t="str">
        <f t="shared" si="31"/>
        <v>1µF 450v</v>
      </c>
      <c r="K191" s="7"/>
      <c r="L191" s="7" t="str">
        <f t="shared" si="32"/>
        <v>ECR</v>
      </c>
      <c r="M191" s="31">
        <f t="shared" si="24"/>
        <v>8</v>
      </c>
      <c r="N191" s="31">
        <f t="shared" si="25"/>
        <v>12</v>
      </c>
      <c r="O191" s="8" t="str">
        <f t="shared" si="26"/>
        <v>Hitano-ECR</v>
      </c>
      <c r="P191" s="12" t="str">
        <f t="shared" si="22"/>
        <v>Hitano R-08.0x12.0</v>
      </c>
      <c r="Q191" s="12" t="str">
        <f t="shared" si="27"/>
        <v>1µF</v>
      </c>
      <c r="R191" s="12" t="str">
        <f t="shared" si="28"/>
        <v>450v</v>
      </c>
      <c r="S191" s="8" t="str">
        <f t="shared" si="23"/>
        <v>1µF 450v - R08.0-12.0 Hitano (ECR)</v>
      </c>
      <c r="T191" s="8">
        <f t="shared" si="29"/>
        <v>1</v>
      </c>
      <c r="U191" s="8" t="b">
        <f>NOT(ISNA(MATCH($P191,Packages!$A:$A,0)))</f>
        <v>1</v>
      </c>
    </row>
    <row r="192" spans="1:21" hidden="1">
      <c r="A192" s="6" t="s">
        <v>49</v>
      </c>
      <c r="B192" s="6" t="s">
        <v>50</v>
      </c>
      <c r="C192" s="33">
        <v>2.2000000000000002</v>
      </c>
      <c r="D192" s="34">
        <v>450</v>
      </c>
      <c r="E192" s="6" t="s">
        <v>72</v>
      </c>
      <c r="F192" s="6" t="s">
        <v>59</v>
      </c>
      <c r="G192" s="6"/>
      <c r="H192" s="7" t="s">
        <v>141</v>
      </c>
      <c r="I192" s="7" t="str">
        <f t="shared" si="30"/>
        <v>HITANO</v>
      </c>
      <c r="J192" s="7" t="str">
        <f t="shared" si="31"/>
        <v>2.2µF 450v</v>
      </c>
      <c r="K192" s="7"/>
      <c r="L192" s="7" t="str">
        <f t="shared" si="32"/>
        <v>ECR</v>
      </c>
      <c r="M192" s="31">
        <f t="shared" si="24"/>
        <v>10</v>
      </c>
      <c r="N192" s="31">
        <f t="shared" si="25"/>
        <v>13</v>
      </c>
      <c r="O192" s="8" t="str">
        <f t="shared" si="26"/>
        <v>Hitano-ECR</v>
      </c>
      <c r="P192" s="12" t="str">
        <f t="shared" si="22"/>
        <v>Hitano R-10.0x13.0</v>
      </c>
      <c r="Q192" s="12" t="str">
        <f t="shared" si="27"/>
        <v>2.2µF</v>
      </c>
      <c r="R192" s="12" t="str">
        <f t="shared" si="28"/>
        <v>450v</v>
      </c>
      <c r="S192" s="8" t="str">
        <f t="shared" si="23"/>
        <v>2.2µF 450v - R10.0-13.0 Hitano (ECR)</v>
      </c>
      <c r="T192" s="8">
        <f t="shared" si="29"/>
        <v>1</v>
      </c>
      <c r="U192" s="8" t="b">
        <f>NOT(ISNA(MATCH($P192,Packages!$A:$A,0)))</f>
        <v>1</v>
      </c>
    </row>
    <row r="193" spans="1:21" hidden="1">
      <c r="A193" s="6" t="s">
        <v>49</v>
      </c>
      <c r="B193" s="6" t="s">
        <v>50</v>
      </c>
      <c r="C193" s="33">
        <v>3.3</v>
      </c>
      <c r="D193" s="34">
        <v>450</v>
      </c>
      <c r="E193" s="6" t="s">
        <v>74</v>
      </c>
      <c r="F193" s="6" t="s">
        <v>59</v>
      </c>
      <c r="G193" s="6"/>
      <c r="H193" s="7" t="s">
        <v>141</v>
      </c>
      <c r="I193" s="7" t="str">
        <f t="shared" si="30"/>
        <v>HITANO</v>
      </c>
      <c r="J193" s="7" t="str">
        <f t="shared" si="31"/>
        <v>3.3µF 450v</v>
      </c>
      <c r="K193" s="7"/>
      <c r="L193" s="7" t="str">
        <f t="shared" si="32"/>
        <v>ECR</v>
      </c>
      <c r="M193" s="31">
        <f t="shared" si="24"/>
        <v>10</v>
      </c>
      <c r="N193" s="31">
        <f t="shared" si="25"/>
        <v>16</v>
      </c>
      <c r="O193" s="8" t="str">
        <f t="shared" si="26"/>
        <v>Hitano-ECR</v>
      </c>
      <c r="P193" s="12" t="str">
        <f t="shared" si="22"/>
        <v>Hitano R-10.0x16.0</v>
      </c>
      <c r="Q193" s="12" t="str">
        <f t="shared" si="27"/>
        <v>3.3µF</v>
      </c>
      <c r="R193" s="12" t="str">
        <f t="shared" si="28"/>
        <v>450v</v>
      </c>
      <c r="S193" s="8" t="str">
        <f t="shared" si="23"/>
        <v>3.3µF 450v - R10.0-16.0 Hitano (ECR)</v>
      </c>
      <c r="T193" s="8">
        <f t="shared" si="29"/>
        <v>1</v>
      </c>
      <c r="U193" s="8" t="b">
        <f>NOT(ISNA(MATCH($P193,Packages!$A:$A,0)))</f>
        <v>1</v>
      </c>
    </row>
    <row r="194" spans="1:21" hidden="1">
      <c r="A194" s="6" t="s">
        <v>49</v>
      </c>
      <c r="B194" s="6" t="s">
        <v>50</v>
      </c>
      <c r="C194" s="33">
        <v>4.7</v>
      </c>
      <c r="D194" s="34">
        <v>450</v>
      </c>
      <c r="E194" s="6" t="s">
        <v>75</v>
      </c>
      <c r="F194" s="6" t="s">
        <v>59</v>
      </c>
      <c r="G194" s="6"/>
      <c r="H194" s="7" t="s">
        <v>141</v>
      </c>
      <c r="I194" s="7" t="str">
        <f t="shared" si="30"/>
        <v>HITANO</v>
      </c>
      <c r="J194" s="7" t="str">
        <f t="shared" si="31"/>
        <v>4.7µF 450v</v>
      </c>
      <c r="K194" s="7"/>
      <c r="L194" s="7" t="str">
        <f t="shared" si="32"/>
        <v>ECR</v>
      </c>
      <c r="M194" s="31">
        <f t="shared" si="24"/>
        <v>10</v>
      </c>
      <c r="N194" s="31">
        <f t="shared" si="25"/>
        <v>21</v>
      </c>
      <c r="O194" s="8" t="str">
        <f t="shared" si="26"/>
        <v>Hitano-ECR</v>
      </c>
      <c r="P194" s="12" t="str">
        <f t="shared" ref="P194:P257" si="33">$A194&amp;" "&amp;LEFT($F194,1)&amp;"-"&amp;TEXT(ROUND($M194,0),"00.0")&amp;"x"&amp;TEXT(ROUND($N194,0),"00.0")</f>
        <v>Hitano R-10.0x21.0</v>
      </c>
      <c r="Q194" s="12" t="str">
        <f t="shared" si="27"/>
        <v>4.7µF</v>
      </c>
      <c r="R194" s="12" t="str">
        <f t="shared" si="28"/>
        <v>450v</v>
      </c>
      <c r="S194" s="8" t="str">
        <f t="shared" ref="S194:S257" si="34">$Q194&amp;" "&amp;$R194&amp;" - "&amp;LEFT($F194,1)&amp;TEXT($M194,"00.0")&amp;"-"&amp;TEXT($N194,"00.0")&amp;" "&amp;A194&amp;" ("&amp;B194&amp;")"&amp;IF(ISBLANK($G194),""," "&amp;$G194)</f>
        <v>4.7µF 450v - R10.0-21.0 Hitano (ECR)</v>
      </c>
      <c r="T194" s="8">
        <f t="shared" si="29"/>
        <v>1</v>
      </c>
      <c r="U194" s="8" t="b">
        <f>NOT(ISNA(MATCH($P194,Packages!$A:$A,0)))</f>
        <v>1</v>
      </c>
    </row>
    <row r="195" spans="1:21" hidden="1">
      <c r="A195" s="6" t="s">
        <v>49</v>
      </c>
      <c r="B195" s="6" t="s">
        <v>50</v>
      </c>
      <c r="C195" s="33">
        <v>10</v>
      </c>
      <c r="D195" s="34">
        <v>450</v>
      </c>
      <c r="E195" s="6" t="s">
        <v>77</v>
      </c>
      <c r="F195" s="6" t="s">
        <v>59</v>
      </c>
      <c r="G195" s="6"/>
      <c r="H195" s="7" t="s">
        <v>141</v>
      </c>
      <c r="I195" s="7" t="str">
        <f t="shared" si="30"/>
        <v>HITANO</v>
      </c>
      <c r="J195" s="7" t="str">
        <f t="shared" si="31"/>
        <v>10µF 450v</v>
      </c>
      <c r="K195" s="7"/>
      <c r="L195" s="7" t="str">
        <f t="shared" si="32"/>
        <v>ECR</v>
      </c>
      <c r="M195" s="31">
        <f t="shared" ref="M195:M258" si="35">VALUE(LEFT($E195,SEARCH("x",$E195)-1))</f>
        <v>13</v>
      </c>
      <c r="N195" s="31">
        <f t="shared" ref="N195:N258" si="36">VALUE(RIGHT($E195,LEN($E195)-SEARCH("x",$E195)))</f>
        <v>26</v>
      </c>
      <c r="O195" s="8" t="str">
        <f t="shared" ref="O195:O258" si="37">$A195&amp;"-"&amp;$B195</f>
        <v>Hitano-ECR</v>
      </c>
      <c r="P195" s="12" t="str">
        <f t="shared" si="33"/>
        <v>Hitano R-13.0x26.0</v>
      </c>
      <c r="Q195" s="12" t="str">
        <f t="shared" ref="Q195:Q258" si="38">TEXT($C195,"General"&amp;CHAR(34)&amp;"µF"&amp;CHAR(34))</f>
        <v>10µF</v>
      </c>
      <c r="R195" s="12" t="str">
        <f t="shared" ref="R195:R258" si="39">TEXT($D195,"General"&amp;CHAR(34)&amp;"v"&amp;CHAR(34))</f>
        <v>450v</v>
      </c>
      <c r="S195" s="8" t="str">
        <f t="shared" si="34"/>
        <v>10µF 450v - R13.0-26.0 Hitano (ECR)</v>
      </c>
      <c r="T195" s="8">
        <f t="shared" ref="T195:T258" si="40">COUNTIF($S:$S,$S195)</f>
        <v>1</v>
      </c>
      <c r="U195" s="8" t="b">
        <f>NOT(ISNA(MATCH($P195,Packages!$A:$A,0)))</f>
        <v>1</v>
      </c>
    </row>
    <row r="196" spans="1:21" hidden="1">
      <c r="A196" s="6" t="s">
        <v>49</v>
      </c>
      <c r="B196" s="6" t="s">
        <v>50</v>
      </c>
      <c r="C196" s="33">
        <v>22</v>
      </c>
      <c r="D196" s="34">
        <v>450</v>
      </c>
      <c r="E196" s="6" t="s">
        <v>78</v>
      </c>
      <c r="F196" s="6" t="s">
        <v>59</v>
      </c>
      <c r="G196" s="6"/>
      <c r="H196" s="7" t="s">
        <v>141</v>
      </c>
      <c r="I196" s="7" t="str">
        <f t="shared" ref="I196:I259" si="41">UPPER($A196)</f>
        <v>HITANO</v>
      </c>
      <c r="J196" s="7" t="str">
        <f t="shared" ref="J196:J198" si="42">$Q196&amp;" "&amp;$R196</f>
        <v>22µF 450v</v>
      </c>
      <c r="K196" s="7"/>
      <c r="L196" s="7" t="str">
        <f t="shared" ref="L196:L198" si="43">$B196</f>
        <v>ECR</v>
      </c>
      <c r="M196" s="31">
        <f t="shared" si="35"/>
        <v>16</v>
      </c>
      <c r="N196" s="31">
        <f t="shared" si="36"/>
        <v>26</v>
      </c>
      <c r="O196" s="8" t="str">
        <f t="shared" si="37"/>
        <v>Hitano-ECR</v>
      </c>
      <c r="P196" s="12" t="str">
        <f t="shared" si="33"/>
        <v>Hitano R-16.0x26.0</v>
      </c>
      <c r="Q196" s="12" t="str">
        <f t="shared" si="38"/>
        <v>22µF</v>
      </c>
      <c r="R196" s="12" t="str">
        <f t="shared" si="39"/>
        <v>450v</v>
      </c>
      <c r="S196" s="8" t="str">
        <f t="shared" si="34"/>
        <v>22µF 450v - R16.0-26.0 Hitano (ECR)</v>
      </c>
      <c r="T196" s="8">
        <f t="shared" si="40"/>
        <v>1</v>
      </c>
      <c r="U196" s="8" t="b">
        <f>NOT(ISNA(MATCH($P196,Packages!$A:$A,0)))</f>
        <v>1</v>
      </c>
    </row>
    <row r="197" spans="1:21" hidden="1">
      <c r="A197" s="6" t="s">
        <v>49</v>
      </c>
      <c r="B197" s="6" t="s">
        <v>50</v>
      </c>
      <c r="C197" s="33">
        <v>33</v>
      </c>
      <c r="D197" s="34">
        <v>450</v>
      </c>
      <c r="E197" s="6" t="s">
        <v>81</v>
      </c>
      <c r="F197" s="6" t="s">
        <v>59</v>
      </c>
      <c r="G197" s="6"/>
      <c r="H197" s="7" t="s">
        <v>141</v>
      </c>
      <c r="I197" s="7" t="str">
        <f t="shared" si="41"/>
        <v>HITANO</v>
      </c>
      <c r="J197" s="7" t="str">
        <f t="shared" si="42"/>
        <v>33µF 450v</v>
      </c>
      <c r="K197" s="7"/>
      <c r="L197" s="7" t="str">
        <f t="shared" si="43"/>
        <v>ECR</v>
      </c>
      <c r="M197" s="31">
        <f t="shared" si="35"/>
        <v>16</v>
      </c>
      <c r="N197" s="31">
        <f t="shared" si="36"/>
        <v>32</v>
      </c>
      <c r="O197" s="8" t="str">
        <f t="shared" si="37"/>
        <v>Hitano-ECR</v>
      </c>
      <c r="P197" s="12" t="str">
        <f t="shared" si="33"/>
        <v>Hitano R-16.0x32.0</v>
      </c>
      <c r="Q197" s="12" t="str">
        <f t="shared" si="38"/>
        <v>33µF</v>
      </c>
      <c r="R197" s="12" t="str">
        <f t="shared" si="39"/>
        <v>450v</v>
      </c>
      <c r="S197" s="8" t="str">
        <f t="shared" si="34"/>
        <v>33µF 450v - R16.0-32.0 Hitano (ECR)</v>
      </c>
      <c r="T197" s="8">
        <f t="shared" si="40"/>
        <v>1</v>
      </c>
      <c r="U197" s="8" t="b">
        <f>NOT(ISNA(MATCH($P197,Packages!$A:$A,0)))</f>
        <v>1</v>
      </c>
    </row>
    <row r="198" spans="1:21" hidden="1">
      <c r="A198" s="6" t="s">
        <v>49</v>
      </c>
      <c r="B198" s="6" t="s">
        <v>50</v>
      </c>
      <c r="C198" s="33">
        <v>47</v>
      </c>
      <c r="D198" s="34">
        <v>450</v>
      </c>
      <c r="E198" s="6" t="s">
        <v>79</v>
      </c>
      <c r="F198" s="6" t="s">
        <v>59</v>
      </c>
      <c r="G198" s="6"/>
      <c r="H198" s="7" t="s">
        <v>141</v>
      </c>
      <c r="I198" s="7" t="str">
        <f t="shared" si="41"/>
        <v>HITANO</v>
      </c>
      <c r="J198" s="7" t="str">
        <f t="shared" si="42"/>
        <v>47µF 450v</v>
      </c>
      <c r="K198" s="7"/>
      <c r="L198" s="7" t="str">
        <f t="shared" si="43"/>
        <v>ECR</v>
      </c>
      <c r="M198" s="31">
        <f t="shared" si="35"/>
        <v>16</v>
      </c>
      <c r="N198" s="31">
        <f t="shared" si="36"/>
        <v>36</v>
      </c>
      <c r="O198" s="8" t="str">
        <f t="shared" si="37"/>
        <v>Hitano-ECR</v>
      </c>
      <c r="P198" s="12" t="str">
        <f t="shared" si="33"/>
        <v>Hitano R-16.0x36.0</v>
      </c>
      <c r="Q198" s="12" t="str">
        <f t="shared" si="38"/>
        <v>47µF</v>
      </c>
      <c r="R198" s="12" t="str">
        <f t="shared" si="39"/>
        <v>450v</v>
      </c>
      <c r="S198" s="8" t="str">
        <f t="shared" si="34"/>
        <v>47µF 450v - R16.0-36.0 Hitano (ECR)</v>
      </c>
      <c r="T198" s="8">
        <f t="shared" si="40"/>
        <v>1</v>
      </c>
      <c r="U198" s="8" t="b">
        <f>NOT(ISNA(MATCH($P198,Packages!$A:$A,0)))</f>
        <v>1</v>
      </c>
    </row>
    <row r="199" spans="1:21">
      <c r="A199" s="6" t="s">
        <v>49</v>
      </c>
      <c r="B199" s="6" t="s">
        <v>52</v>
      </c>
      <c r="C199" s="33">
        <v>220</v>
      </c>
      <c r="D199" s="34">
        <v>6.3</v>
      </c>
      <c r="E199" s="6" t="s">
        <v>69</v>
      </c>
      <c r="F199" s="6" t="s">
        <v>59</v>
      </c>
      <c r="G199" s="6"/>
      <c r="H199" s="7" t="s">
        <v>142</v>
      </c>
      <c r="I199" s="7" t="str">
        <f t="shared" si="41"/>
        <v>HITANO</v>
      </c>
      <c r="J199" s="7" t="str">
        <f>Q199</f>
        <v>220µF</v>
      </c>
      <c r="K199" s="7" t="str">
        <f>R199</f>
        <v>6.3v</v>
      </c>
      <c r="L199" s="7" t="str">
        <f>B199</f>
        <v>EXR</v>
      </c>
      <c r="M199" s="31">
        <f t="shared" si="35"/>
        <v>6.3</v>
      </c>
      <c r="N199" s="31">
        <f t="shared" si="36"/>
        <v>11</v>
      </c>
      <c r="O199" s="8" t="str">
        <f t="shared" si="37"/>
        <v>Hitano-EXR</v>
      </c>
      <c r="P199" s="12" t="str">
        <f t="shared" si="33"/>
        <v>Hitano R-06.0x11.0</v>
      </c>
      <c r="Q199" s="12" t="str">
        <f t="shared" si="38"/>
        <v>220µF</v>
      </c>
      <c r="R199" s="12" t="str">
        <f t="shared" si="39"/>
        <v>6.3v</v>
      </c>
      <c r="S199" s="8" t="str">
        <f t="shared" si="34"/>
        <v>220µF 6.3v - R06.3-11.0 Hitano (EXR)</v>
      </c>
      <c r="T199" s="8">
        <f t="shared" si="40"/>
        <v>1</v>
      </c>
      <c r="U199" s="8" t="b">
        <f>NOT(ISNA(MATCH($P199,Packages!$A:$A,0)))</f>
        <v>1</v>
      </c>
    </row>
    <row r="200" spans="1:21">
      <c r="A200" s="6" t="s">
        <v>49</v>
      </c>
      <c r="B200" s="6" t="s">
        <v>52</v>
      </c>
      <c r="C200" s="33">
        <v>330</v>
      </c>
      <c r="D200" s="34">
        <v>6.3</v>
      </c>
      <c r="E200" s="6" t="s">
        <v>71</v>
      </c>
      <c r="F200" s="6" t="s">
        <v>59</v>
      </c>
      <c r="G200" s="6"/>
      <c r="H200" s="7" t="s">
        <v>142</v>
      </c>
      <c r="I200" s="7" t="str">
        <f t="shared" si="41"/>
        <v>HITANO</v>
      </c>
      <c r="J200" s="7" t="str">
        <f t="shared" ref="J200:J263" si="44">Q200</f>
        <v>330µF</v>
      </c>
      <c r="K200" s="7" t="str">
        <f t="shared" ref="K200:K263" si="45">R200</f>
        <v>6.3v</v>
      </c>
      <c r="L200" s="7" t="str">
        <f t="shared" ref="L200:L263" si="46">B200</f>
        <v>EXR</v>
      </c>
      <c r="M200" s="31">
        <f t="shared" si="35"/>
        <v>8</v>
      </c>
      <c r="N200" s="31">
        <f t="shared" si="36"/>
        <v>12</v>
      </c>
      <c r="O200" s="8" t="str">
        <f t="shared" si="37"/>
        <v>Hitano-EXR</v>
      </c>
      <c r="P200" s="12" t="str">
        <f t="shared" si="33"/>
        <v>Hitano R-08.0x12.0</v>
      </c>
      <c r="Q200" s="12" t="str">
        <f t="shared" si="38"/>
        <v>330µF</v>
      </c>
      <c r="R200" s="12" t="str">
        <f t="shared" si="39"/>
        <v>6.3v</v>
      </c>
      <c r="S200" s="8" t="str">
        <f t="shared" si="34"/>
        <v>330µF 6.3v - R08.0-12.0 Hitano (EXR)</v>
      </c>
      <c r="T200" s="8">
        <f t="shared" si="40"/>
        <v>1</v>
      </c>
      <c r="U200" s="8" t="b">
        <f>NOT(ISNA(MATCH($P200,Packages!$A:$A,0)))</f>
        <v>1</v>
      </c>
    </row>
    <row r="201" spans="1:21">
      <c r="A201" s="6" t="s">
        <v>49</v>
      </c>
      <c r="B201" s="6" t="s">
        <v>52</v>
      </c>
      <c r="C201" s="33">
        <v>470</v>
      </c>
      <c r="D201" s="34">
        <v>6.3</v>
      </c>
      <c r="E201" s="6" t="s">
        <v>71</v>
      </c>
      <c r="F201" s="6" t="s">
        <v>59</v>
      </c>
      <c r="G201" s="6"/>
      <c r="H201" s="7" t="s">
        <v>142</v>
      </c>
      <c r="I201" s="7" t="str">
        <f t="shared" si="41"/>
        <v>HITANO</v>
      </c>
      <c r="J201" s="7" t="str">
        <f t="shared" si="44"/>
        <v>470µF</v>
      </c>
      <c r="K201" s="7" t="str">
        <f t="shared" si="45"/>
        <v>6.3v</v>
      </c>
      <c r="L201" s="7" t="str">
        <f t="shared" si="46"/>
        <v>EXR</v>
      </c>
      <c r="M201" s="31">
        <f t="shared" si="35"/>
        <v>8</v>
      </c>
      <c r="N201" s="31">
        <f t="shared" si="36"/>
        <v>12</v>
      </c>
      <c r="O201" s="8" t="str">
        <f t="shared" si="37"/>
        <v>Hitano-EXR</v>
      </c>
      <c r="P201" s="12" t="str">
        <f t="shared" si="33"/>
        <v>Hitano R-08.0x12.0</v>
      </c>
      <c r="Q201" s="12" t="str">
        <f t="shared" si="38"/>
        <v>470µF</v>
      </c>
      <c r="R201" s="12" t="str">
        <f t="shared" si="39"/>
        <v>6.3v</v>
      </c>
      <c r="S201" s="8" t="str">
        <f t="shared" si="34"/>
        <v>470µF 6.3v - R08.0-12.0 Hitano (EXR)</v>
      </c>
      <c r="T201" s="8">
        <f t="shared" si="40"/>
        <v>1</v>
      </c>
      <c r="U201" s="8" t="b">
        <f>NOT(ISNA(MATCH($P201,Packages!$A:$A,0)))</f>
        <v>1</v>
      </c>
    </row>
    <row r="202" spans="1:21">
      <c r="A202" s="6" t="s">
        <v>49</v>
      </c>
      <c r="B202" s="6" t="s">
        <v>52</v>
      </c>
      <c r="C202" s="33">
        <v>680</v>
      </c>
      <c r="D202" s="34">
        <v>6.3</v>
      </c>
      <c r="E202" s="6" t="s">
        <v>73</v>
      </c>
      <c r="F202" s="6" t="s">
        <v>59</v>
      </c>
      <c r="G202" s="6"/>
      <c r="H202" s="7" t="s">
        <v>142</v>
      </c>
      <c r="I202" s="7" t="str">
        <f t="shared" si="41"/>
        <v>HITANO</v>
      </c>
      <c r="J202" s="7" t="str">
        <f t="shared" si="44"/>
        <v>680µF</v>
      </c>
      <c r="K202" s="7" t="str">
        <f t="shared" si="45"/>
        <v>6.3v</v>
      </c>
      <c r="L202" s="7" t="str">
        <f t="shared" si="46"/>
        <v>EXR</v>
      </c>
      <c r="M202" s="31">
        <f t="shared" si="35"/>
        <v>8</v>
      </c>
      <c r="N202" s="31">
        <f t="shared" si="36"/>
        <v>14</v>
      </c>
      <c r="O202" s="8" t="str">
        <f t="shared" si="37"/>
        <v>Hitano-EXR</v>
      </c>
      <c r="P202" s="12" t="str">
        <f t="shared" si="33"/>
        <v>Hitano R-08.0x14.0</v>
      </c>
      <c r="Q202" s="12" t="str">
        <f t="shared" si="38"/>
        <v>680µF</v>
      </c>
      <c r="R202" s="12" t="str">
        <f t="shared" si="39"/>
        <v>6.3v</v>
      </c>
      <c r="S202" s="8" t="str">
        <f t="shared" si="34"/>
        <v>680µF 6.3v - R08.0-14.0 Hitano (EXR)</v>
      </c>
      <c r="T202" s="8">
        <f t="shared" si="40"/>
        <v>1</v>
      </c>
      <c r="U202" s="8" t="b">
        <f>NOT(ISNA(MATCH($P202,Packages!$A:$A,0)))</f>
        <v>1</v>
      </c>
    </row>
    <row r="203" spans="1:21">
      <c r="A203" s="6" t="s">
        <v>49</v>
      </c>
      <c r="B203" s="6" t="s">
        <v>52</v>
      </c>
      <c r="C203" s="33">
        <v>1000</v>
      </c>
      <c r="D203" s="34">
        <v>6.3</v>
      </c>
      <c r="E203" s="6" t="s">
        <v>71</v>
      </c>
      <c r="F203" s="6" t="s">
        <v>59</v>
      </c>
      <c r="G203" s="6"/>
      <c r="H203" s="7" t="s">
        <v>142</v>
      </c>
      <c r="I203" s="7" t="str">
        <f t="shared" si="41"/>
        <v>HITANO</v>
      </c>
      <c r="J203" s="7" t="str">
        <f t="shared" si="44"/>
        <v>1000µF</v>
      </c>
      <c r="K203" s="7" t="str">
        <f t="shared" si="45"/>
        <v>6.3v</v>
      </c>
      <c r="L203" s="7" t="str">
        <f t="shared" si="46"/>
        <v>EXR</v>
      </c>
      <c r="M203" s="31">
        <f t="shared" si="35"/>
        <v>8</v>
      </c>
      <c r="N203" s="31">
        <f t="shared" si="36"/>
        <v>12</v>
      </c>
      <c r="O203" s="8" t="str">
        <f t="shared" si="37"/>
        <v>Hitano-EXR</v>
      </c>
      <c r="P203" s="12" t="str">
        <f t="shared" si="33"/>
        <v>Hitano R-08.0x12.0</v>
      </c>
      <c r="Q203" s="12" t="str">
        <f t="shared" si="38"/>
        <v>1000µF</v>
      </c>
      <c r="R203" s="12" t="str">
        <f t="shared" si="39"/>
        <v>6.3v</v>
      </c>
      <c r="S203" s="8" t="str">
        <f t="shared" si="34"/>
        <v>1000µF 6.3v - R08.0-12.0 Hitano (EXR)</v>
      </c>
      <c r="T203" s="8">
        <f t="shared" si="40"/>
        <v>1</v>
      </c>
      <c r="U203" s="8" t="b">
        <f>NOT(ISNA(MATCH($P203,Packages!$A:$A,0)))</f>
        <v>1</v>
      </c>
    </row>
    <row r="204" spans="1:21">
      <c r="A204" s="6" t="s">
        <v>49</v>
      </c>
      <c r="B204" s="6" t="s">
        <v>52</v>
      </c>
      <c r="C204" s="33">
        <v>1000</v>
      </c>
      <c r="D204" s="34">
        <v>6.3</v>
      </c>
      <c r="E204" s="6" t="s">
        <v>92</v>
      </c>
      <c r="F204" s="6" t="s">
        <v>59</v>
      </c>
      <c r="G204" s="6"/>
      <c r="H204" s="7" t="s">
        <v>142</v>
      </c>
      <c r="I204" s="7" t="str">
        <f t="shared" si="41"/>
        <v>HITANO</v>
      </c>
      <c r="J204" s="7" t="str">
        <f t="shared" si="44"/>
        <v>1000µF</v>
      </c>
      <c r="K204" s="7" t="str">
        <f t="shared" si="45"/>
        <v>6.3v</v>
      </c>
      <c r="L204" s="7" t="str">
        <f t="shared" si="46"/>
        <v>EXR</v>
      </c>
      <c r="M204" s="31">
        <f t="shared" si="35"/>
        <v>10</v>
      </c>
      <c r="N204" s="31">
        <f t="shared" si="36"/>
        <v>12.5</v>
      </c>
      <c r="O204" s="8" t="str">
        <f t="shared" si="37"/>
        <v>Hitano-EXR</v>
      </c>
      <c r="P204" s="12" t="str">
        <f t="shared" si="33"/>
        <v>Hitano R-10.0x13.0</v>
      </c>
      <c r="Q204" s="12" t="str">
        <f t="shared" si="38"/>
        <v>1000µF</v>
      </c>
      <c r="R204" s="12" t="str">
        <f t="shared" si="39"/>
        <v>6.3v</v>
      </c>
      <c r="S204" s="8" t="str">
        <f t="shared" si="34"/>
        <v>1000µF 6.3v - R10.0-12.5 Hitano (EXR)</v>
      </c>
      <c r="T204" s="8">
        <f t="shared" si="40"/>
        <v>1</v>
      </c>
      <c r="U204" s="8" t="b">
        <f>NOT(ISNA(MATCH($P204,Packages!$A:$A,0)))</f>
        <v>1</v>
      </c>
    </row>
    <row r="205" spans="1:21">
      <c r="A205" s="6" t="s">
        <v>49</v>
      </c>
      <c r="B205" s="6" t="s">
        <v>52</v>
      </c>
      <c r="C205" s="33">
        <v>1500</v>
      </c>
      <c r="D205" s="34">
        <v>6.3</v>
      </c>
      <c r="E205" s="6" t="s">
        <v>113</v>
      </c>
      <c r="F205" s="6" t="s">
        <v>59</v>
      </c>
      <c r="G205" s="6"/>
      <c r="H205" s="7" t="s">
        <v>142</v>
      </c>
      <c r="I205" s="7" t="str">
        <f t="shared" si="41"/>
        <v>HITANO</v>
      </c>
      <c r="J205" s="7" t="str">
        <f t="shared" si="44"/>
        <v>1500µF</v>
      </c>
      <c r="K205" s="7" t="str">
        <f t="shared" si="45"/>
        <v>6.3v</v>
      </c>
      <c r="L205" s="7" t="str">
        <f t="shared" si="46"/>
        <v>EXR</v>
      </c>
      <c r="M205" s="31">
        <f t="shared" si="35"/>
        <v>8</v>
      </c>
      <c r="N205" s="31">
        <f t="shared" si="36"/>
        <v>16</v>
      </c>
      <c r="O205" s="8" t="str">
        <f t="shared" si="37"/>
        <v>Hitano-EXR</v>
      </c>
      <c r="P205" s="12" t="str">
        <f t="shared" si="33"/>
        <v>Hitano R-08.0x16.0</v>
      </c>
      <c r="Q205" s="12" t="str">
        <f t="shared" si="38"/>
        <v>1500µF</v>
      </c>
      <c r="R205" s="12" t="str">
        <f t="shared" si="39"/>
        <v>6.3v</v>
      </c>
      <c r="S205" s="8" t="str">
        <f t="shared" si="34"/>
        <v>1500µF 6.3v - R08.0-16.0 Hitano (EXR)</v>
      </c>
      <c r="T205" s="8">
        <f t="shared" si="40"/>
        <v>1</v>
      </c>
      <c r="U205" s="8" t="b">
        <f>NOT(ISNA(MATCH($P205,Packages!$A:$A,0)))</f>
        <v>1</v>
      </c>
    </row>
    <row r="206" spans="1:21">
      <c r="A206" s="6" t="s">
        <v>49</v>
      </c>
      <c r="B206" s="6" t="s">
        <v>52</v>
      </c>
      <c r="C206" s="33">
        <v>1500</v>
      </c>
      <c r="D206" s="34">
        <v>6.3</v>
      </c>
      <c r="E206" s="6" t="s">
        <v>74</v>
      </c>
      <c r="F206" s="6" t="s">
        <v>59</v>
      </c>
      <c r="G206" s="6"/>
      <c r="H206" s="7" t="s">
        <v>142</v>
      </c>
      <c r="I206" s="7" t="str">
        <f t="shared" si="41"/>
        <v>HITANO</v>
      </c>
      <c r="J206" s="7" t="str">
        <f t="shared" si="44"/>
        <v>1500µF</v>
      </c>
      <c r="K206" s="7" t="str">
        <f t="shared" si="45"/>
        <v>6.3v</v>
      </c>
      <c r="L206" s="7" t="str">
        <f t="shared" si="46"/>
        <v>EXR</v>
      </c>
      <c r="M206" s="31">
        <f t="shared" si="35"/>
        <v>10</v>
      </c>
      <c r="N206" s="31">
        <f t="shared" si="36"/>
        <v>16</v>
      </c>
      <c r="O206" s="8" t="str">
        <f t="shared" si="37"/>
        <v>Hitano-EXR</v>
      </c>
      <c r="P206" s="12" t="str">
        <f t="shared" si="33"/>
        <v>Hitano R-10.0x16.0</v>
      </c>
      <c r="Q206" s="12" t="str">
        <f t="shared" si="38"/>
        <v>1500µF</v>
      </c>
      <c r="R206" s="12" t="str">
        <f t="shared" si="39"/>
        <v>6.3v</v>
      </c>
      <c r="S206" s="8" t="str">
        <f t="shared" si="34"/>
        <v>1500µF 6.3v - R10.0-16.0 Hitano (EXR)</v>
      </c>
      <c r="T206" s="8">
        <f t="shared" si="40"/>
        <v>1</v>
      </c>
      <c r="U206" s="8" t="b">
        <f>NOT(ISNA(MATCH($P206,Packages!$A:$A,0)))</f>
        <v>1</v>
      </c>
    </row>
    <row r="207" spans="1:21">
      <c r="A207" s="6" t="s">
        <v>49</v>
      </c>
      <c r="B207" s="6" t="s">
        <v>52</v>
      </c>
      <c r="C207" s="33">
        <v>2200</v>
      </c>
      <c r="D207" s="34">
        <v>6.3</v>
      </c>
      <c r="E207" s="6" t="s">
        <v>75</v>
      </c>
      <c r="F207" s="6" t="s">
        <v>59</v>
      </c>
      <c r="G207" s="6"/>
      <c r="H207" s="7" t="s">
        <v>142</v>
      </c>
      <c r="I207" s="7" t="str">
        <f t="shared" si="41"/>
        <v>HITANO</v>
      </c>
      <c r="J207" s="7" t="str">
        <f t="shared" si="44"/>
        <v>2200µF</v>
      </c>
      <c r="K207" s="7" t="str">
        <f t="shared" si="45"/>
        <v>6.3v</v>
      </c>
      <c r="L207" s="7" t="str">
        <f t="shared" si="46"/>
        <v>EXR</v>
      </c>
      <c r="M207" s="31">
        <f t="shared" si="35"/>
        <v>10</v>
      </c>
      <c r="N207" s="31">
        <f t="shared" si="36"/>
        <v>21</v>
      </c>
      <c r="O207" s="8" t="str">
        <f t="shared" si="37"/>
        <v>Hitano-EXR</v>
      </c>
      <c r="P207" s="12" t="str">
        <f t="shared" si="33"/>
        <v>Hitano R-10.0x21.0</v>
      </c>
      <c r="Q207" s="12" t="str">
        <f t="shared" si="38"/>
        <v>2200µF</v>
      </c>
      <c r="R207" s="12" t="str">
        <f t="shared" si="39"/>
        <v>6.3v</v>
      </c>
      <c r="S207" s="8" t="str">
        <f t="shared" si="34"/>
        <v>2200µF 6.3v - R10.0-21.0 Hitano (EXR)</v>
      </c>
      <c r="T207" s="8">
        <f t="shared" si="40"/>
        <v>1</v>
      </c>
      <c r="U207" s="8" t="b">
        <f>NOT(ISNA(MATCH($P207,Packages!$A:$A,0)))</f>
        <v>1</v>
      </c>
    </row>
    <row r="208" spans="1:21">
      <c r="A208" s="6" t="s">
        <v>49</v>
      </c>
      <c r="B208" s="6" t="s">
        <v>52</v>
      </c>
      <c r="C208" s="33">
        <v>3300</v>
      </c>
      <c r="D208" s="34">
        <v>6.3</v>
      </c>
      <c r="E208" s="6" t="s">
        <v>75</v>
      </c>
      <c r="F208" s="6" t="s">
        <v>59</v>
      </c>
      <c r="G208" s="6"/>
      <c r="H208" s="7" t="s">
        <v>142</v>
      </c>
      <c r="I208" s="7" t="str">
        <f t="shared" si="41"/>
        <v>HITANO</v>
      </c>
      <c r="J208" s="7" t="str">
        <f t="shared" si="44"/>
        <v>3300µF</v>
      </c>
      <c r="K208" s="7" t="str">
        <f t="shared" si="45"/>
        <v>6.3v</v>
      </c>
      <c r="L208" s="7" t="str">
        <f t="shared" si="46"/>
        <v>EXR</v>
      </c>
      <c r="M208" s="31">
        <f t="shared" si="35"/>
        <v>10</v>
      </c>
      <c r="N208" s="31">
        <f t="shared" si="36"/>
        <v>21</v>
      </c>
      <c r="O208" s="8" t="str">
        <f t="shared" si="37"/>
        <v>Hitano-EXR</v>
      </c>
      <c r="P208" s="12" t="str">
        <f t="shared" si="33"/>
        <v>Hitano R-10.0x21.0</v>
      </c>
      <c r="Q208" s="12" t="str">
        <f t="shared" si="38"/>
        <v>3300µF</v>
      </c>
      <c r="R208" s="12" t="str">
        <f t="shared" si="39"/>
        <v>6.3v</v>
      </c>
      <c r="S208" s="8" t="str">
        <f t="shared" si="34"/>
        <v>3300µF 6.3v - R10.0-21.0 Hitano (EXR)</v>
      </c>
      <c r="T208" s="8">
        <f t="shared" si="40"/>
        <v>1</v>
      </c>
      <c r="U208" s="8" t="b">
        <f>NOT(ISNA(MATCH($P208,Packages!$A:$A,0)))</f>
        <v>1</v>
      </c>
    </row>
    <row r="209" spans="1:21">
      <c r="A209" s="6" t="s">
        <v>49</v>
      </c>
      <c r="B209" s="6" t="s">
        <v>52</v>
      </c>
      <c r="C209" s="33">
        <v>3300</v>
      </c>
      <c r="D209" s="34">
        <v>6.3</v>
      </c>
      <c r="E209" s="6" t="s">
        <v>76</v>
      </c>
      <c r="F209" s="6" t="s">
        <v>59</v>
      </c>
      <c r="G209" s="6"/>
      <c r="H209" s="7" t="s">
        <v>142</v>
      </c>
      <c r="I209" s="7" t="str">
        <f t="shared" si="41"/>
        <v>HITANO</v>
      </c>
      <c r="J209" s="7" t="str">
        <f t="shared" si="44"/>
        <v>3300µF</v>
      </c>
      <c r="K209" s="7" t="str">
        <f t="shared" si="45"/>
        <v>6.3v</v>
      </c>
      <c r="L209" s="7" t="str">
        <f t="shared" si="46"/>
        <v>EXR</v>
      </c>
      <c r="M209" s="31">
        <f t="shared" si="35"/>
        <v>13</v>
      </c>
      <c r="N209" s="31">
        <f t="shared" si="36"/>
        <v>21</v>
      </c>
      <c r="O209" s="8" t="str">
        <f t="shared" si="37"/>
        <v>Hitano-EXR</v>
      </c>
      <c r="P209" s="12" t="str">
        <f t="shared" si="33"/>
        <v>Hitano R-13.0x21.0</v>
      </c>
      <c r="Q209" s="12" t="str">
        <f t="shared" si="38"/>
        <v>3300µF</v>
      </c>
      <c r="R209" s="12" t="str">
        <f t="shared" si="39"/>
        <v>6.3v</v>
      </c>
      <c r="S209" s="8" t="str">
        <f t="shared" si="34"/>
        <v>3300µF 6.3v - R13.0-21.0 Hitano (EXR)</v>
      </c>
      <c r="T209" s="8">
        <f t="shared" si="40"/>
        <v>1</v>
      </c>
      <c r="U209" s="8" t="b">
        <f>NOT(ISNA(MATCH($P209,Packages!$A:$A,0)))</f>
        <v>1</v>
      </c>
    </row>
    <row r="210" spans="1:21">
      <c r="A210" s="6" t="s">
        <v>49</v>
      </c>
      <c r="B210" s="6" t="s">
        <v>52</v>
      </c>
      <c r="C210" s="33">
        <v>4700</v>
      </c>
      <c r="D210" s="34">
        <v>6.3</v>
      </c>
      <c r="E210" s="6" t="s">
        <v>76</v>
      </c>
      <c r="F210" s="6" t="s">
        <v>59</v>
      </c>
      <c r="G210" s="6"/>
      <c r="H210" s="7" t="s">
        <v>142</v>
      </c>
      <c r="I210" s="7" t="str">
        <f t="shared" si="41"/>
        <v>HITANO</v>
      </c>
      <c r="J210" s="7" t="str">
        <f t="shared" si="44"/>
        <v>4700µF</v>
      </c>
      <c r="K210" s="7" t="str">
        <f t="shared" si="45"/>
        <v>6.3v</v>
      </c>
      <c r="L210" s="7" t="str">
        <f t="shared" si="46"/>
        <v>EXR</v>
      </c>
      <c r="M210" s="31">
        <f t="shared" si="35"/>
        <v>13</v>
      </c>
      <c r="N210" s="31">
        <f t="shared" si="36"/>
        <v>21</v>
      </c>
      <c r="O210" s="8" t="str">
        <f t="shared" si="37"/>
        <v>Hitano-EXR</v>
      </c>
      <c r="P210" s="12" t="str">
        <f t="shared" si="33"/>
        <v>Hitano R-13.0x21.0</v>
      </c>
      <c r="Q210" s="12" t="str">
        <f t="shared" si="38"/>
        <v>4700µF</v>
      </c>
      <c r="R210" s="12" t="str">
        <f t="shared" si="39"/>
        <v>6.3v</v>
      </c>
      <c r="S210" s="8" t="str">
        <f t="shared" si="34"/>
        <v>4700µF 6.3v - R13.0-21.0 Hitano (EXR)</v>
      </c>
      <c r="T210" s="8">
        <f t="shared" si="40"/>
        <v>1</v>
      </c>
      <c r="U210" s="8" t="b">
        <f>NOT(ISNA(MATCH($P210,Packages!$A:$A,0)))</f>
        <v>1</v>
      </c>
    </row>
    <row r="211" spans="1:21">
      <c r="A211" s="6" t="s">
        <v>49</v>
      </c>
      <c r="B211" s="6" t="s">
        <v>52</v>
      </c>
      <c r="C211" s="33">
        <v>6800</v>
      </c>
      <c r="D211" s="34">
        <v>6.3</v>
      </c>
      <c r="E211" s="6" t="s">
        <v>78</v>
      </c>
      <c r="F211" s="6" t="s">
        <v>59</v>
      </c>
      <c r="G211" s="6"/>
      <c r="H211" s="7" t="s">
        <v>142</v>
      </c>
      <c r="I211" s="7" t="str">
        <f t="shared" si="41"/>
        <v>HITANO</v>
      </c>
      <c r="J211" s="7" t="str">
        <f t="shared" si="44"/>
        <v>6800µF</v>
      </c>
      <c r="K211" s="7" t="str">
        <f t="shared" si="45"/>
        <v>6.3v</v>
      </c>
      <c r="L211" s="7" t="str">
        <f t="shared" si="46"/>
        <v>EXR</v>
      </c>
      <c r="M211" s="31">
        <f t="shared" si="35"/>
        <v>16</v>
      </c>
      <c r="N211" s="31">
        <f t="shared" si="36"/>
        <v>26</v>
      </c>
      <c r="O211" s="8" t="str">
        <f t="shared" si="37"/>
        <v>Hitano-EXR</v>
      </c>
      <c r="P211" s="12" t="str">
        <f t="shared" si="33"/>
        <v>Hitano R-16.0x26.0</v>
      </c>
      <c r="Q211" s="12" t="str">
        <f t="shared" si="38"/>
        <v>6800µF</v>
      </c>
      <c r="R211" s="12" t="str">
        <f t="shared" si="39"/>
        <v>6.3v</v>
      </c>
      <c r="S211" s="8" t="str">
        <f t="shared" si="34"/>
        <v>6800µF 6.3v - R16.0-26.0 Hitano (EXR)</v>
      </c>
      <c r="T211" s="8">
        <f t="shared" si="40"/>
        <v>1</v>
      </c>
      <c r="U211" s="8" t="b">
        <f>NOT(ISNA(MATCH($P211,Packages!$A:$A,0)))</f>
        <v>1</v>
      </c>
    </row>
    <row r="212" spans="1:21">
      <c r="A212" s="6" t="s">
        <v>49</v>
      </c>
      <c r="B212" s="6" t="s">
        <v>52</v>
      </c>
      <c r="C212" s="33">
        <v>10000</v>
      </c>
      <c r="D212" s="34">
        <v>6.3</v>
      </c>
      <c r="E212" s="6" t="s">
        <v>98</v>
      </c>
      <c r="F212" s="6" t="s">
        <v>59</v>
      </c>
      <c r="G212" s="6"/>
      <c r="H212" s="7" t="s">
        <v>142</v>
      </c>
      <c r="I212" s="7" t="str">
        <f t="shared" si="41"/>
        <v>HITANO</v>
      </c>
      <c r="J212" s="7" t="str">
        <f t="shared" si="44"/>
        <v>10000µF</v>
      </c>
      <c r="K212" s="7" t="str">
        <f t="shared" si="45"/>
        <v>6.3v</v>
      </c>
      <c r="L212" s="7" t="str">
        <f t="shared" si="46"/>
        <v>EXR</v>
      </c>
      <c r="M212" s="31">
        <f t="shared" si="35"/>
        <v>16</v>
      </c>
      <c r="N212" s="31">
        <f t="shared" si="36"/>
        <v>31.5</v>
      </c>
      <c r="O212" s="8" t="str">
        <f t="shared" si="37"/>
        <v>Hitano-EXR</v>
      </c>
      <c r="P212" s="12" t="str">
        <f t="shared" si="33"/>
        <v>Hitano R-16.0x32.0</v>
      </c>
      <c r="Q212" s="12" t="str">
        <f t="shared" si="38"/>
        <v>10000µF</v>
      </c>
      <c r="R212" s="12" t="str">
        <f t="shared" si="39"/>
        <v>6.3v</v>
      </c>
      <c r="S212" s="8" t="str">
        <f t="shared" si="34"/>
        <v>10000µF 6.3v - R16.0-31.5 Hitano (EXR)</v>
      </c>
      <c r="T212" s="8">
        <f t="shared" si="40"/>
        <v>1</v>
      </c>
      <c r="U212" s="8" t="b">
        <f>NOT(ISNA(MATCH($P212,Packages!$A:$A,0)))</f>
        <v>1</v>
      </c>
    </row>
    <row r="213" spans="1:21">
      <c r="A213" s="6" t="s">
        <v>49</v>
      </c>
      <c r="B213" s="6" t="s">
        <v>52</v>
      </c>
      <c r="C213" s="33">
        <v>15000</v>
      </c>
      <c r="D213" s="34">
        <v>6.3</v>
      </c>
      <c r="E213" s="6" t="s">
        <v>80</v>
      </c>
      <c r="F213" s="6" t="s">
        <v>59</v>
      </c>
      <c r="G213" s="6"/>
      <c r="H213" s="7" t="s">
        <v>142</v>
      </c>
      <c r="I213" s="7" t="str">
        <f t="shared" si="41"/>
        <v>HITANO</v>
      </c>
      <c r="J213" s="7" t="str">
        <f t="shared" si="44"/>
        <v>15000µF</v>
      </c>
      <c r="K213" s="7" t="str">
        <f t="shared" si="45"/>
        <v>6.3v</v>
      </c>
      <c r="L213" s="7" t="str">
        <f t="shared" si="46"/>
        <v>EXR</v>
      </c>
      <c r="M213" s="31">
        <f t="shared" si="35"/>
        <v>18</v>
      </c>
      <c r="N213" s="31">
        <f t="shared" si="36"/>
        <v>36</v>
      </c>
      <c r="O213" s="8" t="str">
        <f t="shared" si="37"/>
        <v>Hitano-EXR</v>
      </c>
      <c r="P213" s="12" t="str">
        <f t="shared" si="33"/>
        <v>Hitano R-18.0x36.0</v>
      </c>
      <c r="Q213" s="12" t="str">
        <f t="shared" si="38"/>
        <v>15000µF</v>
      </c>
      <c r="R213" s="12" t="str">
        <f t="shared" si="39"/>
        <v>6.3v</v>
      </c>
      <c r="S213" s="8" t="str">
        <f t="shared" si="34"/>
        <v>15000µF 6.3v - R18.0-36.0 Hitano (EXR)</v>
      </c>
      <c r="T213" s="8">
        <f t="shared" si="40"/>
        <v>1</v>
      </c>
      <c r="U213" s="8" t="b">
        <f>NOT(ISNA(MATCH($P213,Packages!$A:$A,0)))</f>
        <v>1</v>
      </c>
    </row>
    <row r="214" spans="1:21">
      <c r="A214" s="6" t="s">
        <v>49</v>
      </c>
      <c r="B214" s="6" t="s">
        <v>52</v>
      </c>
      <c r="C214" s="33">
        <v>100</v>
      </c>
      <c r="D214" s="34">
        <v>10</v>
      </c>
      <c r="E214" s="6" t="s">
        <v>68</v>
      </c>
      <c r="F214" s="6" t="s">
        <v>59</v>
      </c>
      <c r="G214" s="6"/>
      <c r="H214" s="7" t="s">
        <v>142</v>
      </c>
      <c r="I214" s="7" t="str">
        <f t="shared" si="41"/>
        <v>HITANO</v>
      </c>
      <c r="J214" s="7" t="str">
        <f t="shared" si="44"/>
        <v>100µF</v>
      </c>
      <c r="K214" s="7" t="str">
        <f t="shared" si="45"/>
        <v>10v</v>
      </c>
      <c r="L214" s="7" t="str">
        <f t="shared" si="46"/>
        <v>EXR</v>
      </c>
      <c r="M214" s="31">
        <f t="shared" si="35"/>
        <v>5</v>
      </c>
      <c r="N214" s="31">
        <f t="shared" si="36"/>
        <v>11</v>
      </c>
      <c r="O214" s="8" t="str">
        <f t="shared" si="37"/>
        <v>Hitano-EXR</v>
      </c>
      <c r="P214" s="12" t="str">
        <f t="shared" si="33"/>
        <v>Hitano R-05.0x11.0</v>
      </c>
      <c r="Q214" s="12" t="str">
        <f t="shared" si="38"/>
        <v>100µF</v>
      </c>
      <c r="R214" s="12" t="str">
        <f t="shared" si="39"/>
        <v>10v</v>
      </c>
      <c r="S214" s="8" t="str">
        <f t="shared" si="34"/>
        <v>100µF 10v - R05.0-11.0 Hitano (EXR)</v>
      </c>
      <c r="T214" s="8">
        <f t="shared" si="40"/>
        <v>1</v>
      </c>
      <c r="U214" s="8" t="b">
        <f>NOT(ISNA(MATCH($P214,Packages!$A:$A,0)))</f>
        <v>1</v>
      </c>
    </row>
    <row r="215" spans="1:21">
      <c r="A215" s="6" t="s">
        <v>49</v>
      </c>
      <c r="B215" s="6" t="s">
        <v>52</v>
      </c>
      <c r="C215" s="33">
        <v>150</v>
      </c>
      <c r="D215" s="34">
        <v>10</v>
      </c>
      <c r="E215" s="6" t="s">
        <v>69</v>
      </c>
      <c r="F215" s="6" t="s">
        <v>59</v>
      </c>
      <c r="G215" s="6"/>
      <c r="H215" s="7" t="s">
        <v>142</v>
      </c>
      <c r="I215" s="7" t="str">
        <f t="shared" si="41"/>
        <v>HITANO</v>
      </c>
      <c r="J215" s="7" t="str">
        <f t="shared" si="44"/>
        <v>150µF</v>
      </c>
      <c r="K215" s="7" t="str">
        <f t="shared" si="45"/>
        <v>10v</v>
      </c>
      <c r="L215" s="7" t="str">
        <f t="shared" si="46"/>
        <v>EXR</v>
      </c>
      <c r="M215" s="31">
        <f t="shared" si="35"/>
        <v>6.3</v>
      </c>
      <c r="N215" s="31">
        <f t="shared" si="36"/>
        <v>11</v>
      </c>
      <c r="O215" s="8" t="str">
        <f t="shared" si="37"/>
        <v>Hitano-EXR</v>
      </c>
      <c r="P215" s="12" t="str">
        <f t="shared" si="33"/>
        <v>Hitano R-06.0x11.0</v>
      </c>
      <c r="Q215" s="12" t="str">
        <f t="shared" si="38"/>
        <v>150µF</v>
      </c>
      <c r="R215" s="12" t="str">
        <f t="shared" si="39"/>
        <v>10v</v>
      </c>
      <c r="S215" s="8" t="str">
        <f t="shared" si="34"/>
        <v>150µF 10v - R06.3-11.0 Hitano (EXR)</v>
      </c>
      <c r="T215" s="8">
        <f t="shared" si="40"/>
        <v>1</v>
      </c>
      <c r="U215" s="8" t="b">
        <f>NOT(ISNA(MATCH($P215,Packages!$A:$A,0)))</f>
        <v>1</v>
      </c>
    </row>
    <row r="216" spans="1:21">
      <c r="A216" s="6" t="s">
        <v>49</v>
      </c>
      <c r="B216" s="6" t="s">
        <v>52</v>
      </c>
      <c r="C216" s="33">
        <v>220</v>
      </c>
      <c r="D216" s="34">
        <v>10</v>
      </c>
      <c r="E216" s="6" t="s">
        <v>70</v>
      </c>
      <c r="F216" s="6" t="s">
        <v>59</v>
      </c>
      <c r="G216" s="6"/>
      <c r="H216" s="7" t="s">
        <v>142</v>
      </c>
      <c r="I216" s="7" t="str">
        <f t="shared" si="41"/>
        <v>HITANO</v>
      </c>
      <c r="J216" s="7" t="str">
        <f t="shared" si="44"/>
        <v>220µF</v>
      </c>
      <c r="K216" s="7" t="str">
        <f t="shared" si="45"/>
        <v>10v</v>
      </c>
      <c r="L216" s="7" t="str">
        <f t="shared" si="46"/>
        <v>EXR</v>
      </c>
      <c r="M216" s="31">
        <f t="shared" si="35"/>
        <v>6.3</v>
      </c>
      <c r="N216" s="31">
        <f t="shared" si="36"/>
        <v>11</v>
      </c>
      <c r="O216" s="8" t="str">
        <f t="shared" si="37"/>
        <v>Hitano-EXR</v>
      </c>
      <c r="P216" s="12" t="str">
        <f t="shared" si="33"/>
        <v>Hitano R-06.0x11.0</v>
      </c>
      <c r="Q216" s="12" t="str">
        <f t="shared" si="38"/>
        <v>220µF</v>
      </c>
      <c r="R216" s="12" t="str">
        <f t="shared" si="39"/>
        <v>10v</v>
      </c>
      <c r="S216" s="8" t="str">
        <f t="shared" si="34"/>
        <v>220µF 10v - R06.3-11.0 Hitano (EXR)</v>
      </c>
      <c r="T216" s="8">
        <f t="shared" si="40"/>
        <v>1</v>
      </c>
      <c r="U216" s="8" t="b">
        <f>NOT(ISNA(MATCH($P216,Packages!$A:$A,0)))</f>
        <v>1</v>
      </c>
    </row>
    <row r="217" spans="1:21">
      <c r="A217" s="6" t="s">
        <v>49</v>
      </c>
      <c r="B217" s="6" t="s">
        <v>52</v>
      </c>
      <c r="C217" s="33">
        <v>330</v>
      </c>
      <c r="D217" s="34">
        <v>10</v>
      </c>
      <c r="E217" s="6" t="s">
        <v>71</v>
      </c>
      <c r="F217" s="6" t="s">
        <v>59</v>
      </c>
      <c r="G217" s="6"/>
      <c r="H217" s="7" t="s">
        <v>142</v>
      </c>
      <c r="I217" s="7" t="str">
        <f t="shared" si="41"/>
        <v>HITANO</v>
      </c>
      <c r="J217" s="7" t="str">
        <f t="shared" si="44"/>
        <v>330µF</v>
      </c>
      <c r="K217" s="7" t="str">
        <f t="shared" si="45"/>
        <v>10v</v>
      </c>
      <c r="L217" s="7" t="str">
        <f t="shared" si="46"/>
        <v>EXR</v>
      </c>
      <c r="M217" s="31">
        <f t="shared" si="35"/>
        <v>8</v>
      </c>
      <c r="N217" s="31">
        <f t="shared" si="36"/>
        <v>12</v>
      </c>
      <c r="O217" s="8" t="str">
        <f t="shared" si="37"/>
        <v>Hitano-EXR</v>
      </c>
      <c r="P217" s="12" t="str">
        <f t="shared" si="33"/>
        <v>Hitano R-08.0x12.0</v>
      </c>
      <c r="Q217" s="12" t="str">
        <f t="shared" si="38"/>
        <v>330µF</v>
      </c>
      <c r="R217" s="12" t="str">
        <f t="shared" si="39"/>
        <v>10v</v>
      </c>
      <c r="S217" s="8" t="str">
        <f t="shared" si="34"/>
        <v>330µF 10v - R08.0-12.0 Hitano (EXR)</v>
      </c>
      <c r="T217" s="8">
        <f t="shared" si="40"/>
        <v>1</v>
      </c>
      <c r="U217" s="8" t="b">
        <f>NOT(ISNA(MATCH($P217,Packages!$A:$A,0)))</f>
        <v>1</v>
      </c>
    </row>
    <row r="218" spans="1:21">
      <c r="A218" s="6" t="s">
        <v>49</v>
      </c>
      <c r="B218" s="6" t="s">
        <v>52</v>
      </c>
      <c r="C218" s="33">
        <v>470</v>
      </c>
      <c r="D218" s="34">
        <v>10</v>
      </c>
      <c r="E218" s="6" t="s">
        <v>71</v>
      </c>
      <c r="F218" s="6" t="s">
        <v>59</v>
      </c>
      <c r="G218" s="6"/>
      <c r="H218" s="7" t="s">
        <v>142</v>
      </c>
      <c r="I218" s="7" t="str">
        <f t="shared" si="41"/>
        <v>HITANO</v>
      </c>
      <c r="J218" s="7" t="str">
        <f t="shared" si="44"/>
        <v>470µF</v>
      </c>
      <c r="K218" s="7" t="str">
        <f t="shared" si="45"/>
        <v>10v</v>
      </c>
      <c r="L218" s="7" t="str">
        <f t="shared" si="46"/>
        <v>EXR</v>
      </c>
      <c r="M218" s="31">
        <f t="shared" si="35"/>
        <v>8</v>
      </c>
      <c r="N218" s="31">
        <f t="shared" si="36"/>
        <v>12</v>
      </c>
      <c r="O218" s="8" t="str">
        <f t="shared" si="37"/>
        <v>Hitano-EXR</v>
      </c>
      <c r="P218" s="12" t="str">
        <f t="shared" si="33"/>
        <v>Hitano R-08.0x12.0</v>
      </c>
      <c r="Q218" s="12" t="str">
        <f t="shared" si="38"/>
        <v>470µF</v>
      </c>
      <c r="R218" s="12" t="str">
        <f t="shared" si="39"/>
        <v>10v</v>
      </c>
      <c r="S218" s="8" t="str">
        <f t="shared" si="34"/>
        <v>470µF 10v - R08.0-12.0 Hitano (EXR)</v>
      </c>
      <c r="T218" s="8">
        <f t="shared" si="40"/>
        <v>1</v>
      </c>
      <c r="U218" s="8" t="b">
        <f>NOT(ISNA(MATCH($P218,Packages!$A:$A,0)))</f>
        <v>1</v>
      </c>
    </row>
    <row r="219" spans="1:21">
      <c r="A219" s="6" t="s">
        <v>49</v>
      </c>
      <c r="B219" s="6" t="s">
        <v>52</v>
      </c>
      <c r="C219" s="33">
        <v>680</v>
      </c>
      <c r="D219" s="34">
        <v>10</v>
      </c>
      <c r="E219" s="6" t="s">
        <v>73</v>
      </c>
      <c r="F219" s="6" t="s">
        <v>59</v>
      </c>
      <c r="G219" s="6"/>
      <c r="H219" s="7" t="s">
        <v>142</v>
      </c>
      <c r="I219" s="7" t="str">
        <f t="shared" si="41"/>
        <v>HITANO</v>
      </c>
      <c r="J219" s="7" t="str">
        <f t="shared" si="44"/>
        <v>680µF</v>
      </c>
      <c r="K219" s="7" t="str">
        <f t="shared" si="45"/>
        <v>10v</v>
      </c>
      <c r="L219" s="7" t="str">
        <f t="shared" si="46"/>
        <v>EXR</v>
      </c>
      <c r="M219" s="31">
        <f t="shared" si="35"/>
        <v>8</v>
      </c>
      <c r="N219" s="31">
        <f t="shared" si="36"/>
        <v>14</v>
      </c>
      <c r="O219" s="8" t="str">
        <f t="shared" si="37"/>
        <v>Hitano-EXR</v>
      </c>
      <c r="P219" s="12" t="str">
        <f t="shared" si="33"/>
        <v>Hitano R-08.0x14.0</v>
      </c>
      <c r="Q219" s="12" t="str">
        <f t="shared" si="38"/>
        <v>680µF</v>
      </c>
      <c r="R219" s="12" t="str">
        <f t="shared" si="39"/>
        <v>10v</v>
      </c>
      <c r="S219" s="8" t="str">
        <f t="shared" si="34"/>
        <v>680µF 10v - R08.0-14.0 Hitano (EXR)</v>
      </c>
      <c r="T219" s="8">
        <f t="shared" si="40"/>
        <v>1</v>
      </c>
      <c r="U219" s="8" t="b">
        <f>NOT(ISNA(MATCH($P219,Packages!$A:$A,0)))</f>
        <v>1</v>
      </c>
    </row>
    <row r="220" spans="1:21">
      <c r="A220" s="6" t="s">
        <v>49</v>
      </c>
      <c r="B220" s="6" t="s">
        <v>52</v>
      </c>
      <c r="C220" s="33">
        <v>1000</v>
      </c>
      <c r="D220" s="34">
        <v>10</v>
      </c>
      <c r="E220" s="6" t="s">
        <v>92</v>
      </c>
      <c r="F220" s="6" t="s">
        <v>59</v>
      </c>
      <c r="G220" s="6"/>
      <c r="H220" s="7" t="s">
        <v>142</v>
      </c>
      <c r="I220" s="7" t="str">
        <f t="shared" si="41"/>
        <v>HITANO</v>
      </c>
      <c r="J220" s="7" t="str">
        <f t="shared" si="44"/>
        <v>1000µF</v>
      </c>
      <c r="K220" s="7" t="str">
        <f t="shared" si="45"/>
        <v>10v</v>
      </c>
      <c r="L220" s="7" t="str">
        <f t="shared" si="46"/>
        <v>EXR</v>
      </c>
      <c r="M220" s="31">
        <f t="shared" si="35"/>
        <v>10</v>
      </c>
      <c r="N220" s="31">
        <f t="shared" si="36"/>
        <v>12.5</v>
      </c>
      <c r="O220" s="8" t="str">
        <f t="shared" si="37"/>
        <v>Hitano-EXR</v>
      </c>
      <c r="P220" s="12" t="str">
        <f t="shared" si="33"/>
        <v>Hitano R-10.0x13.0</v>
      </c>
      <c r="Q220" s="12" t="str">
        <f t="shared" si="38"/>
        <v>1000µF</v>
      </c>
      <c r="R220" s="12" t="str">
        <f t="shared" si="39"/>
        <v>10v</v>
      </c>
      <c r="S220" s="8" t="str">
        <f t="shared" si="34"/>
        <v>1000µF 10v - R10.0-12.5 Hitano (EXR)</v>
      </c>
      <c r="T220" s="8">
        <f t="shared" si="40"/>
        <v>1</v>
      </c>
      <c r="U220" s="8" t="b">
        <f>NOT(ISNA(MATCH($P220,Packages!$A:$A,0)))</f>
        <v>1</v>
      </c>
    </row>
    <row r="221" spans="1:21">
      <c r="A221" s="6" t="s">
        <v>49</v>
      </c>
      <c r="B221" s="6" t="s">
        <v>52</v>
      </c>
      <c r="C221" s="33">
        <v>1000</v>
      </c>
      <c r="D221" s="34">
        <v>10</v>
      </c>
      <c r="E221" s="6" t="s">
        <v>75</v>
      </c>
      <c r="F221" s="6" t="s">
        <v>59</v>
      </c>
      <c r="G221" s="6"/>
      <c r="H221" s="7" t="s">
        <v>142</v>
      </c>
      <c r="I221" s="7" t="str">
        <f t="shared" si="41"/>
        <v>HITANO</v>
      </c>
      <c r="J221" s="7" t="str">
        <f t="shared" si="44"/>
        <v>1000µF</v>
      </c>
      <c r="K221" s="7" t="str">
        <f t="shared" si="45"/>
        <v>10v</v>
      </c>
      <c r="L221" s="7" t="str">
        <f t="shared" si="46"/>
        <v>EXR</v>
      </c>
      <c r="M221" s="31">
        <f t="shared" si="35"/>
        <v>10</v>
      </c>
      <c r="N221" s="31">
        <f t="shared" si="36"/>
        <v>21</v>
      </c>
      <c r="O221" s="8" t="str">
        <f t="shared" si="37"/>
        <v>Hitano-EXR</v>
      </c>
      <c r="P221" s="12" t="str">
        <f t="shared" si="33"/>
        <v>Hitano R-10.0x21.0</v>
      </c>
      <c r="Q221" s="12" t="str">
        <f t="shared" si="38"/>
        <v>1000µF</v>
      </c>
      <c r="R221" s="12" t="str">
        <f t="shared" si="39"/>
        <v>10v</v>
      </c>
      <c r="S221" s="8" t="str">
        <f t="shared" si="34"/>
        <v>1000µF 10v - R10.0-21.0 Hitano (EXR)</v>
      </c>
      <c r="T221" s="8">
        <f t="shared" si="40"/>
        <v>1</v>
      </c>
      <c r="U221" s="8" t="b">
        <f>NOT(ISNA(MATCH($P221,Packages!$A:$A,0)))</f>
        <v>1</v>
      </c>
    </row>
    <row r="222" spans="1:21">
      <c r="A222" s="6" t="s">
        <v>49</v>
      </c>
      <c r="B222" s="6" t="s">
        <v>52</v>
      </c>
      <c r="C222" s="33">
        <v>1500</v>
      </c>
      <c r="D222" s="34">
        <v>10</v>
      </c>
      <c r="E222" s="6" t="s">
        <v>74</v>
      </c>
      <c r="F222" s="6" t="s">
        <v>59</v>
      </c>
      <c r="G222" s="6"/>
      <c r="H222" s="7" t="s">
        <v>142</v>
      </c>
      <c r="I222" s="7" t="str">
        <f t="shared" si="41"/>
        <v>HITANO</v>
      </c>
      <c r="J222" s="7" t="str">
        <f t="shared" si="44"/>
        <v>1500µF</v>
      </c>
      <c r="K222" s="7" t="str">
        <f t="shared" si="45"/>
        <v>10v</v>
      </c>
      <c r="L222" s="7" t="str">
        <f t="shared" si="46"/>
        <v>EXR</v>
      </c>
      <c r="M222" s="31">
        <f t="shared" si="35"/>
        <v>10</v>
      </c>
      <c r="N222" s="31">
        <f t="shared" si="36"/>
        <v>16</v>
      </c>
      <c r="O222" s="8" t="str">
        <f t="shared" si="37"/>
        <v>Hitano-EXR</v>
      </c>
      <c r="P222" s="12" t="str">
        <f t="shared" si="33"/>
        <v>Hitano R-10.0x16.0</v>
      </c>
      <c r="Q222" s="12" t="str">
        <f t="shared" si="38"/>
        <v>1500µF</v>
      </c>
      <c r="R222" s="12" t="str">
        <f t="shared" si="39"/>
        <v>10v</v>
      </c>
      <c r="S222" s="8" t="str">
        <f t="shared" si="34"/>
        <v>1500µF 10v - R10.0-16.0 Hitano (EXR)</v>
      </c>
      <c r="T222" s="8">
        <f t="shared" si="40"/>
        <v>1</v>
      </c>
      <c r="U222" s="8" t="b">
        <f>NOT(ISNA(MATCH($P222,Packages!$A:$A,0)))</f>
        <v>1</v>
      </c>
    </row>
    <row r="223" spans="1:21">
      <c r="A223" s="6" t="s">
        <v>49</v>
      </c>
      <c r="B223" s="6" t="s">
        <v>52</v>
      </c>
      <c r="C223" s="33">
        <v>1500</v>
      </c>
      <c r="D223" s="34">
        <v>10</v>
      </c>
      <c r="E223" s="6" t="s">
        <v>75</v>
      </c>
      <c r="F223" s="6" t="s">
        <v>59</v>
      </c>
      <c r="G223" s="6"/>
      <c r="H223" s="7" t="s">
        <v>142</v>
      </c>
      <c r="I223" s="7" t="str">
        <f t="shared" si="41"/>
        <v>HITANO</v>
      </c>
      <c r="J223" s="7" t="str">
        <f t="shared" si="44"/>
        <v>1500µF</v>
      </c>
      <c r="K223" s="7" t="str">
        <f t="shared" si="45"/>
        <v>10v</v>
      </c>
      <c r="L223" s="7" t="str">
        <f t="shared" si="46"/>
        <v>EXR</v>
      </c>
      <c r="M223" s="31">
        <f t="shared" si="35"/>
        <v>10</v>
      </c>
      <c r="N223" s="31">
        <f t="shared" si="36"/>
        <v>21</v>
      </c>
      <c r="O223" s="8" t="str">
        <f t="shared" si="37"/>
        <v>Hitano-EXR</v>
      </c>
      <c r="P223" s="12" t="str">
        <f t="shared" si="33"/>
        <v>Hitano R-10.0x21.0</v>
      </c>
      <c r="Q223" s="12" t="str">
        <f t="shared" si="38"/>
        <v>1500µF</v>
      </c>
      <c r="R223" s="12" t="str">
        <f t="shared" si="39"/>
        <v>10v</v>
      </c>
      <c r="S223" s="8" t="str">
        <f t="shared" si="34"/>
        <v>1500µF 10v - R10.0-21.0 Hitano (EXR)</v>
      </c>
      <c r="T223" s="8">
        <f t="shared" si="40"/>
        <v>1</v>
      </c>
      <c r="U223" s="8" t="b">
        <f>NOT(ISNA(MATCH($P223,Packages!$A:$A,0)))</f>
        <v>1</v>
      </c>
    </row>
    <row r="224" spans="1:21">
      <c r="A224" s="6" t="s">
        <v>49</v>
      </c>
      <c r="B224" s="6" t="s">
        <v>52</v>
      </c>
      <c r="C224" s="33">
        <v>2200</v>
      </c>
      <c r="D224" s="34">
        <v>10</v>
      </c>
      <c r="E224" s="6" t="s">
        <v>75</v>
      </c>
      <c r="F224" s="6" t="s">
        <v>59</v>
      </c>
      <c r="G224" s="6"/>
      <c r="H224" s="7" t="s">
        <v>142</v>
      </c>
      <c r="I224" s="7" t="str">
        <f t="shared" si="41"/>
        <v>HITANO</v>
      </c>
      <c r="J224" s="7" t="str">
        <f t="shared" si="44"/>
        <v>2200µF</v>
      </c>
      <c r="K224" s="7" t="str">
        <f t="shared" si="45"/>
        <v>10v</v>
      </c>
      <c r="L224" s="7" t="str">
        <f t="shared" si="46"/>
        <v>EXR</v>
      </c>
      <c r="M224" s="31">
        <f t="shared" si="35"/>
        <v>10</v>
      </c>
      <c r="N224" s="31">
        <f t="shared" si="36"/>
        <v>21</v>
      </c>
      <c r="O224" s="8" t="str">
        <f t="shared" si="37"/>
        <v>Hitano-EXR</v>
      </c>
      <c r="P224" s="12" t="str">
        <f t="shared" si="33"/>
        <v>Hitano R-10.0x21.0</v>
      </c>
      <c r="Q224" s="12" t="str">
        <f t="shared" si="38"/>
        <v>2200µF</v>
      </c>
      <c r="R224" s="12" t="str">
        <f t="shared" si="39"/>
        <v>10v</v>
      </c>
      <c r="S224" s="8" t="str">
        <f t="shared" si="34"/>
        <v>2200µF 10v - R10.0-21.0 Hitano (EXR)</v>
      </c>
      <c r="T224" s="8">
        <f t="shared" si="40"/>
        <v>1</v>
      </c>
      <c r="U224" s="8" t="b">
        <f>NOT(ISNA(MATCH($P224,Packages!$A:$A,0)))</f>
        <v>1</v>
      </c>
    </row>
    <row r="225" spans="1:21">
      <c r="A225" s="6" t="s">
        <v>49</v>
      </c>
      <c r="B225" s="6" t="s">
        <v>52</v>
      </c>
      <c r="C225" s="33">
        <v>3300</v>
      </c>
      <c r="D225" s="34">
        <v>10</v>
      </c>
      <c r="E225" s="6" t="s">
        <v>76</v>
      </c>
      <c r="F225" s="6" t="s">
        <v>59</v>
      </c>
      <c r="G225" s="6"/>
      <c r="H225" s="7" t="s">
        <v>142</v>
      </c>
      <c r="I225" s="7" t="str">
        <f t="shared" si="41"/>
        <v>HITANO</v>
      </c>
      <c r="J225" s="7" t="str">
        <f t="shared" si="44"/>
        <v>3300µF</v>
      </c>
      <c r="K225" s="7" t="str">
        <f t="shared" si="45"/>
        <v>10v</v>
      </c>
      <c r="L225" s="7" t="str">
        <f t="shared" si="46"/>
        <v>EXR</v>
      </c>
      <c r="M225" s="31">
        <f t="shared" si="35"/>
        <v>13</v>
      </c>
      <c r="N225" s="31">
        <f t="shared" si="36"/>
        <v>21</v>
      </c>
      <c r="O225" s="8" t="str">
        <f t="shared" si="37"/>
        <v>Hitano-EXR</v>
      </c>
      <c r="P225" s="12" t="str">
        <f t="shared" si="33"/>
        <v>Hitano R-13.0x21.0</v>
      </c>
      <c r="Q225" s="12" t="str">
        <f t="shared" si="38"/>
        <v>3300µF</v>
      </c>
      <c r="R225" s="12" t="str">
        <f t="shared" si="39"/>
        <v>10v</v>
      </c>
      <c r="S225" s="8" t="str">
        <f t="shared" si="34"/>
        <v>3300µF 10v - R13.0-21.0 Hitano (EXR)</v>
      </c>
      <c r="T225" s="8">
        <f t="shared" si="40"/>
        <v>1</v>
      </c>
      <c r="U225" s="8" t="b">
        <f>NOT(ISNA(MATCH($P225,Packages!$A:$A,0)))</f>
        <v>1</v>
      </c>
    </row>
    <row r="226" spans="1:21">
      <c r="A226" s="6" t="s">
        <v>49</v>
      </c>
      <c r="B226" s="6" t="s">
        <v>52</v>
      </c>
      <c r="C226" s="33">
        <v>4700</v>
      </c>
      <c r="D226" s="34">
        <v>10</v>
      </c>
      <c r="E226" s="6" t="s">
        <v>77</v>
      </c>
      <c r="F226" s="6" t="s">
        <v>59</v>
      </c>
      <c r="G226" s="6"/>
      <c r="H226" s="7" t="s">
        <v>142</v>
      </c>
      <c r="I226" s="7" t="str">
        <f t="shared" si="41"/>
        <v>HITANO</v>
      </c>
      <c r="J226" s="7" t="str">
        <f t="shared" si="44"/>
        <v>4700µF</v>
      </c>
      <c r="K226" s="7" t="str">
        <f t="shared" si="45"/>
        <v>10v</v>
      </c>
      <c r="L226" s="7" t="str">
        <f t="shared" si="46"/>
        <v>EXR</v>
      </c>
      <c r="M226" s="31">
        <f t="shared" si="35"/>
        <v>13</v>
      </c>
      <c r="N226" s="31">
        <f t="shared" si="36"/>
        <v>26</v>
      </c>
      <c r="O226" s="8" t="str">
        <f t="shared" si="37"/>
        <v>Hitano-EXR</v>
      </c>
      <c r="P226" s="12" t="str">
        <f t="shared" si="33"/>
        <v>Hitano R-13.0x26.0</v>
      </c>
      <c r="Q226" s="12" t="str">
        <f t="shared" si="38"/>
        <v>4700µF</v>
      </c>
      <c r="R226" s="12" t="str">
        <f t="shared" si="39"/>
        <v>10v</v>
      </c>
      <c r="S226" s="8" t="str">
        <f t="shared" si="34"/>
        <v>4700µF 10v - R13.0-26.0 Hitano (EXR)</v>
      </c>
      <c r="T226" s="8">
        <f t="shared" si="40"/>
        <v>1</v>
      </c>
      <c r="U226" s="8" t="b">
        <f>NOT(ISNA(MATCH($P226,Packages!$A:$A,0)))</f>
        <v>1</v>
      </c>
    </row>
    <row r="227" spans="1:21">
      <c r="A227" s="6" t="s">
        <v>49</v>
      </c>
      <c r="B227" s="6" t="s">
        <v>52</v>
      </c>
      <c r="C227" s="33">
        <v>6800</v>
      </c>
      <c r="D227" s="34">
        <v>10</v>
      </c>
      <c r="E227" s="6" t="s">
        <v>78</v>
      </c>
      <c r="F227" s="6" t="s">
        <v>59</v>
      </c>
      <c r="G227" s="6"/>
      <c r="H227" s="7" t="s">
        <v>142</v>
      </c>
      <c r="I227" s="7" t="str">
        <f t="shared" si="41"/>
        <v>HITANO</v>
      </c>
      <c r="J227" s="7" t="str">
        <f t="shared" si="44"/>
        <v>6800µF</v>
      </c>
      <c r="K227" s="7" t="str">
        <f t="shared" si="45"/>
        <v>10v</v>
      </c>
      <c r="L227" s="7" t="str">
        <f t="shared" si="46"/>
        <v>EXR</v>
      </c>
      <c r="M227" s="31">
        <f t="shared" si="35"/>
        <v>16</v>
      </c>
      <c r="N227" s="31">
        <f t="shared" si="36"/>
        <v>26</v>
      </c>
      <c r="O227" s="8" t="str">
        <f t="shared" si="37"/>
        <v>Hitano-EXR</v>
      </c>
      <c r="P227" s="12" t="str">
        <f t="shared" si="33"/>
        <v>Hitano R-16.0x26.0</v>
      </c>
      <c r="Q227" s="12" t="str">
        <f t="shared" si="38"/>
        <v>6800µF</v>
      </c>
      <c r="R227" s="12" t="str">
        <f t="shared" si="39"/>
        <v>10v</v>
      </c>
      <c r="S227" s="8" t="str">
        <f t="shared" si="34"/>
        <v>6800µF 10v - R16.0-26.0 Hitano (EXR)</v>
      </c>
      <c r="T227" s="8">
        <f t="shared" si="40"/>
        <v>1</v>
      </c>
      <c r="U227" s="8" t="b">
        <f>NOT(ISNA(MATCH($P227,Packages!$A:$A,0)))</f>
        <v>1</v>
      </c>
    </row>
    <row r="228" spans="1:21">
      <c r="A228" s="6" t="s">
        <v>49</v>
      </c>
      <c r="B228" s="6" t="s">
        <v>52</v>
      </c>
      <c r="C228" s="33">
        <v>10000</v>
      </c>
      <c r="D228" s="34">
        <v>10</v>
      </c>
      <c r="E228" s="6" t="s">
        <v>98</v>
      </c>
      <c r="F228" s="6" t="s">
        <v>59</v>
      </c>
      <c r="G228" s="6"/>
      <c r="H228" s="7" t="s">
        <v>142</v>
      </c>
      <c r="I228" s="7" t="str">
        <f t="shared" si="41"/>
        <v>HITANO</v>
      </c>
      <c r="J228" s="7" t="str">
        <f t="shared" si="44"/>
        <v>10000µF</v>
      </c>
      <c r="K228" s="7" t="str">
        <f t="shared" si="45"/>
        <v>10v</v>
      </c>
      <c r="L228" s="7" t="str">
        <f t="shared" si="46"/>
        <v>EXR</v>
      </c>
      <c r="M228" s="31">
        <f t="shared" si="35"/>
        <v>16</v>
      </c>
      <c r="N228" s="31">
        <f t="shared" si="36"/>
        <v>31.5</v>
      </c>
      <c r="O228" s="8" t="str">
        <f t="shared" si="37"/>
        <v>Hitano-EXR</v>
      </c>
      <c r="P228" s="12" t="str">
        <f t="shared" si="33"/>
        <v>Hitano R-16.0x32.0</v>
      </c>
      <c r="Q228" s="12" t="str">
        <f t="shared" si="38"/>
        <v>10000µF</v>
      </c>
      <c r="R228" s="12" t="str">
        <f t="shared" si="39"/>
        <v>10v</v>
      </c>
      <c r="S228" s="8" t="str">
        <f t="shared" si="34"/>
        <v>10000µF 10v - R16.0-31.5 Hitano (EXR)</v>
      </c>
      <c r="T228" s="8">
        <f t="shared" si="40"/>
        <v>1</v>
      </c>
      <c r="U228" s="8" t="b">
        <f>NOT(ISNA(MATCH($P228,Packages!$A:$A,0)))</f>
        <v>1</v>
      </c>
    </row>
    <row r="229" spans="1:21">
      <c r="A229" s="6" t="s">
        <v>49</v>
      </c>
      <c r="B229" s="6" t="s">
        <v>52</v>
      </c>
      <c r="C229" s="33">
        <v>10</v>
      </c>
      <c r="D229" s="34">
        <v>16</v>
      </c>
      <c r="E229" s="6" t="s">
        <v>68</v>
      </c>
      <c r="F229" s="6" t="s">
        <v>59</v>
      </c>
      <c r="G229" s="6"/>
      <c r="H229" s="7" t="s">
        <v>142</v>
      </c>
      <c r="I229" s="7" t="str">
        <f t="shared" si="41"/>
        <v>HITANO</v>
      </c>
      <c r="J229" s="7" t="str">
        <f t="shared" si="44"/>
        <v>10µF</v>
      </c>
      <c r="K229" s="7" t="str">
        <f t="shared" si="45"/>
        <v>16v</v>
      </c>
      <c r="L229" s="7" t="str">
        <f t="shared" si="46"/>
        <v>EXR</v>
      </c>
      <c r="M229" s="31">
        <f t="shared" si="35"/>
        <v>5</v>
      </c>
      <c r="N229" s="31">
        <f t="shared" si="36"/>
        <v>11</v>
      </c>
      <c r="O229" s="8" t="str">
        <f t="shared" si="37"/>
        <v>Hitano-EXR</v>
      </c>
      <c r="P229" s="12" t="str">
        <f t="shared" si="33"/>
        <v>Hitano R-05.0x11.0</v>
      </c>
      <c r="Q229" s="12" t="str">
        <f t="shared" si="38"/>
        <v>10µF</v>
      </c>
      <c r="R229" s="12" t="str">
        <f t="shared" si="39"/>
        <v>16v</v>
      </c>
      <c r="S229" s="8" t="str">
        <f t="shared" si="34"/>
        <v>10µF 16v - R05.0-11.0 Hitano (EXR)</v>
      </c>
      <c r="T229" s="8">
        <f t="shared" si="40"/>
        <v>1</v>
      </c>
      <c r="U229" s="8" t="b">
        <f>NOT(ISNA(MATCH($P229,Packages!$A:$A,0)))</f>
        <v>1</v>
      </c>
    </row>
    <row r="230" spans="1:21">
      <c r="A230" s="6" t="s">
        <v>49</v>
      </c>
      <c r="B230" s="6" t="s">
        <v>52</v>
      </c>
      <c r="C230" s="33">
        <v>22</v>
      </c>
      <c r="D230" s="34">
        <v>16</v>
      </c>
      <c r="E230" s="6" t="s">
        <v>68</v>
      </c>
      <c r="F230" s="6" t="s">
        <v>59</v>
      </c>
      <c r="G230" s="6"/>
      <c r="H230" s="7" t="s">
        <v>142</v>
      </c>
      <c r="I230" s="7" t="str">
        <f t="shared" si="41"/>
        <v>HITANO</v>
      </c>
      <c r="J230" s="7" t="str">
        <f t="shared" si="44"/>
        <v>22µF</v>
      </c>
      <c r="K230" s="7" t="str">
        <f t="shared" si="45"/>
        <v>16v</v>
      </c>
      <c r="L230" s="7" t="str">
        <f t="shared" si="46"/>
        <v>EXR</v>
      </c>
      <c r="M230" s="31">
        <f t="shared" si="35"/>
        <v>5</v>
      </c>
      <c r="N230" s="31">
        <f t="shared" si="36"/>
        <v>11</v>
      </c>
      <c r="O230" s="8" t="str">
        <f t="shared" si="37"/>
        <v>Hitano-EXR</v>
      </c>
      <c r="P230" s="12" t="str">
        <f t="shared" si="33"/>
        <v>Hitano R-05.0x11.0</v>
      </c>
      <c r="Q230" s="12" t="str">
        <f t="shared" si="38"/>
        <v>22µF</v>
      </c>
      <c r="R230" s="12" t="str">
        <f t="shared" si="39"/>
        <v>16v</v>
      </c>
      <c r="S230" s="8" t="str">
        <f t="shared" si="34"/>
        <v>22µF 16v - R05.0-11.0 Hitano (EXR)</v>
      </c>
      <c r="T230" s="8">
        <f t="shared" si="40"/>
        <v>1</v>
      </c>
      <c r="U230" s="8" t="b">
        <f>NOT(ISNA(MATCH($P230,Packages!$A:$A,0)))</f>
        <v>1</v>
      </c>
    </row>
    <row r="231" spans="1:21">
      <c r="A231" s="6" t="s">
        <v>49</v>
      </c>
      <c r="B231" s="6" t="s">
        <v>52</v>
      </c>
      <c r="C231" s="33">
        <v>33</v>
      </c>
      <c r="D231" s="34">
        <v>16</v>
      </c>
      <c r="E231" s="6" t="s">
        <v>68</v>
      </c>
      <c r="F231" s="6" t="s">
        <v>59</v>
      </c>
      <c r="G231" s="6"/>
      <c r="H231" s="7" t="s">
        <v>142</v>
      </c>
      <c r="I231" s="7" t="str">
        <f t="shared" si="41"/>
        <v>HITANO</v>
      </c>
      <c r="J231" s="7" t="str">
        <f t="shared" si="44"/>
        <v>33µF</v>
      </c>
      <c r="K231" s="7" t="str">
        <f t="shared" si="45"/>
        <v>16v</v>
      </c>
      <c r="L231" s="7" t="str">
        <f t="shared" si="46"/>
        <v>EXR</v>
      </c>
      <c r="M231" s="31">
        <f t="shared" si="35"/>
        <v>5</v>
      </c>
      <c r="N231" s="31">
        <f t="shared" si="36"/>
        <v>11</v>
      </c>
      <c r="O231" s="8" t="str">
        <f t="shared" si="37"/>
        <v>Hitano-EXR</v>
      </c>
      <c r="P231" s="12" t="str">
        <f t="shared" si="33"/>
        <v>Hitano R-05.0x11.0</v>
      </c>
      <c r="Q231" s="12" t="str">
        <f t="shared" si="38"/>
        <v>33µF</v>
      </c>
      <c r="R231" s="12" t="str">
        <f t="shared" si="39"/>
        <v>16v</v>
      </c>
      <c r="S231" s="8" t="str">
        <f t="shared" si="34"/>
        <v>33µF 16v - R05.0-11.0 Hitano (EXR)</v>
      </c>
      <c r="T231" s="8">
        <f t="shared" si="40"/>
        <v>1</v>
      </c>
      <c r="U231" s="8" t="b">
        <f>NOT(ISNA(MATCH($P231,Packages!$A:$A,0)))</f>
        <v>1</v>
      </c>
    </row>
    <row r="232" spans="1:21">
      <c r="A232" s="6" t="s">
        <v>49</v>
      </c>
      <c r="B232" s="6" t="s">
        <v>52</v>
      </c>
      <c r="C232" s="33">
        <v>47</v>
      </c>
      <c r="D232" s="34">
        <v>16</v>
      </c>
      <c r="E232" s="6" t="s">
        <v>68</v>
      </c>
      <c r="F232" s="6" t="s">
        <v>59</v>
      </c>
      <c r="G232" s="6"/>
      <c r="H232" s="7" t="s">
        <v>142</v>
      </c>
      <c r="I232" s="7" t="str">
        <f t="shared" si="41"/>
        <v>HITANO</v>
      </c>
      <c r="J232" s="7" t="str">
        <f t="shared" si="44"/>
        <v>47µF</v>
      </c>
      <c r="K232" s="7" t="str">
        <f t="shared" si="45"/>
        <v>16v</v>
      </c>
      <c r="L232" s="7" t="str">
        <f t="shared" si="46"/>
        <v>EXR</v>
      </c>
      <c r="M232" s="31">
        <f t="shared" si="35"/>
        <v>5</v>
      </c>
      <c r="N232" s="31">
        <f t="shared" si="36"/>
        <v>11</v>
      </c>
      <c r="O232" s="8" t="str">
        <f t="shared" si="37"/>
        <v>Hitano-EXR</v>
      </c>
      <c r="P232" s="12" t="str">
        <f t="shared" si="33"/>
        <v>Hitano R-05.0x11.0</v>
      </c>
      <c r="Q232" s="12" t="str">
        <f t="shared" si="38"/>
        <v>47µF</v>
      </c>
      <c r="R232" s="12" t="str">
        <f t="shared" si="39"/>
        <v>16v</v>
      </c>
      <c r="S232" s="8" t="str">
        <f t="shared" si="34"/>
        <v>47µF 16v - R05.0-11.0 Hitano (EXR)</v>
      </c>
      <c r="T232" s="8">
        <f t="shared" si="40"/>
        <v>1</v>
      </c>
      <c r="U232" s="8" t="b">
        <f>NOT(ISNA(MATCH($P232,Packages!$A:$A,0)))</f>
        <v>1</v>
      </c>
    </row>
    <row r="233" spans="1:21">
      <c r="A233" s="6" t="s">
        <v>49</v>
      </c>
      <c r="B233" s="6" t="s">
        <v>52</v>
      </c>
      <c r="C233" s="33">
        <v>68</v>
      </c>
      <c r="D233" s="34">
        <v>16</v>
      </c>
      <c r="E233" s="6" t="s">
        <v>68</v>
      </c>
      <c r="F233" s="6" t="s">
        <v>59</v>
      </c>
      <c r="G233" s="6"/>
      <c r="H233" s="7" t="s">
        <v>142</v>
      </c>
      <c r="I233" s="7" t="str">
        <f t="shared" si="41"/>
        <v>HITANO</v>
      </c>
      <c r="J233" s="7" t="str">
        <f t="shared" si="44"/>
        <v>68µF</v>
      </c>
      <c r="K233" s="7" t="str">
        <f t="shared" si="45"/>
        <v>16v</v>
      </c>
      <c r="L233" s="7" t="str">
        <f t="shared" si="46"/>
        <v>EXR</v>
      </c>
      <c r="M233" s="31">
        <f t="shared" si="35"/>
        <v>5</v>
      </c>
      <c r="N233" s="31">
        <f t="shared" si="36"/>
        <v>11</v>
      </c>
      <c r="O233" s="8" t="str">
        <f t="shared" si="37"/>
        <v>Hitano-EXR</v>
      </c>
      <c r="P233" s="12" t="str">
        <f t="shared" si="33"/>
        <v>Hitano R-05.0x11.0</v>
      </c>
      <c r="Q233" s="12" t="str">
        <f t="shared" si="38"/>
        <v>68µF</v>
      </c>
      <c r="R233" s="12" t="str">
        <f t="shared" si="39"/>
        <v>16v</v>
      </c>
      <c r="S233" s="8" t="str">
        <f t="shared" si="34"/>
        <v>68µF 16v - R05.0-11.0 Hitano (EXR)</v>
      </c>
      <c r="T233" s="8">
        <f t="shared" si="40"/>
        <v>1</v>
      </c>
      <c r="U233" s="8" t="b">
        <f>NOT(ISNA(MATCH($P233,Packages!$A:$A,0)))</f>
        <v>1</v>
      </c>
    </row>
    <row r="234" spans="1:21">
      <c r="A234" s="6" t="s">
        <v>49</v>
      </c>
      <c r="B234" s="6" t="s">
        <v>52</v>
      </c>
      <c r="C234" s="33">
        <v>100</v>
      </c>
      <c r="D234" s="34">
        <v>16</v>
      </c>
      <c r="E234" s="6" t="s">
        <v>69</v>
      </c>
      <c r="F234" s="6" t="s">
        <v>59</v>
      </c>
      <c r="G234" s="6"/>
      <c r="H234" s="7" t="s">
        <v>142</v>
      </c>
      <c r="I234" s="7" t="str">
        <f t="shared" si="41"/>
        <v>HITANO</v>
      </c>
      <c r="J234" s="7" t="str">
        <f t="shared" si="44"/>
        <v>100µF</v>
      </c>
      <c r="K234" s="7" t="str">
        <f t="shared" si="45"/>
        <v>16v</v>
      </c>
      <c r="L234" s="7" t="str">
        <f t="shared" si="46"/>
        <v>EXR</v>
      </c>
      <c r="M234" s="31">
        <f t="shared" si="35"/>
        <v>6.3</v>
      </c>
      <c r="N234" s="31">
        <f t="shared" si="36"/>
        <v>11</v>
      </c>
      <c r="O234" s="8" t="str">
        <f t="shared" si="37"/>
        <v>Hitano-EXR</v>
      </c>
      <c r="P234" s="12" t="str">
        <f t="shared" si="33"/>
        <v>Hitano R-06.0x11.0</v>
      </c>
      <c r="Q234" s="12" t="str">
        <f t="shared" si="38"/>
        <v>100µF</v>
      </c>
      <c r="R234" s="12" t="str">
        <f t="shared" si="39"/>
        <v>16v</v>
      </c>
      <c r="S234" s="8" t="str">
        <f t="shared" si="34"/>
        <v>100µF 16v - R06.3-11.0 Hitano (EXR)</v>
      </c>
      <c r="T234" s="8">
        <f t="shared" si="40"/>
        <v>1</v>
      </c>
      <c r="U234" s="8" t="b">
        <f>NOT(ISNA(MATCH($P234,Packages!$A:$A,0)))</f>
        <v>1</v>
      </c>
    </row>
    <row r="235" spans="1:21">
      <c r="A235" s="6" t="s">
        <v>49</v>
      </c>
      <c r="B235" s="6" t="s">
        <v>52</v>
      </c>
      <c r="C235" s="33">
        <v>150</v>
      </c>
      <c r="D235" s="34">
        <v>16</v>
      </c>
      <c r="E235" s="6" t="s">
        <v>71</v>
      </c>
      <c r="F235" s="6" t="s">
        <v>59</v>
      </c>
      <c r="G235" s="6"/>
      <c r="H235" s="7" t="s">
        <v>142</v>
      </c>
      <c r="I235" s="7" t="str">
        <f t="shared" si="41"/>
        <v>HITANO</v>
      </c>
      <c r="J235" s="7" t="str">
        <f t="shared" si="44"/>
        <v>150µF</v>
      </c>
      <c r="K235" s="7" t="str">
        <f t="shared" si="45"/>
        <v>16v</v>
      </c>
      <c r="L235" s="7" t="str">
        <f t="shared" si="46"/>
        <v>EXR</v>
      </c>
      <c r="M235" s="31">
        <f t="shared" si="35"/>
        <v>8</v>
      </c>
      <c r="N235" s="31">
        <f t="shared" si="36"/>
        <v>12</v>
      </c>
      <c r="O235" s="8" t="str">
        <f t="shared" si="37"/>
        <v>Hitano-EXR</v>
      </c>
      <c r="P235" s="12" t="str">
        <f t="shared" si="33"/>
        <v>Hitano R-08.0x12.0</v>
      </c>
      <c r="Q235" s="12" t="str">
        <f t="shared" si="38"/>
        <v>150µF</v>
      </c>
      <c r="R235" s="12" t="str">
        <f t="shared" si="39"/>
        <v>16v</v>
      </c>
      <c r="S235" s="8" t="str">
        <f t="shared" si="34"/>
        <v>150µF 16v - R08.0-12.0 Hitano (EXR)</v>
      </c>
      <c r="T235" s="8">
        <f t="shared" si="40"/>
        <v>1</v>
      </c>
      <c r="U235" s="8" t="b">
        <f>NOT(ISNA(MATCH($P235,Packages!$A:$A,0)))</f>
        <v>1</v>
      </c>
    </row>
    <row r="236" spans="1:21">
      <c r="A236" s="6" t="s">
        <v>49</v>
      </c>
      <c r="B236" s="6" t="s">
        <v>52</v>
      </c>
      <c r="C236" s="33">
        <v>220</v>
      </c>
      <c r="D236" s="34">
        <v>16</v>
      </c>
      <c r="E236" s="6" t="s">
        <v>71</v>
      </c>
      <c r="F236" s="6" t="s">
        <v>59</v>
      </c>
      <c r="G236" s="6"/>
      <c r="H236" s="7" t="s">
        <v>142</v>
      </c>
      <c r="I236" s="7" t="str">
        <f t="shared" si="41"/>
        <v>HITANO</v>
      </c>
      <c r="J236" s="7" t="str">
        <f t="shared" si="44"/>
        <v>220µF</v>
      </c>
      <c r="K236" s="7" t="str">
        <f t="shared" si="45"/>
        <v>16v</v>
      </c>
      <c r="L236" s="7" t="str">
        <f t="shared" si="46"/>
        <v>EXR</v>
      </c>
      <c r="M236" s="31">
        <f t="shared" si="35"/>
        <v>8</v>
      </c>
      <c r="N236" s="31">
        <f t="shared" si="36"/>
        <v>12</v>
      </c>
      <c r="O236" s="8" t="str">
        <f t="shared" si="37"/>
        <v>Hitano-EXR</v>
      </c>
      <c r="P236" s="12" t="str">
        <f t="shared" si="33"/>
        <v>Hitano R-08.0x12.0</v>
      </c>
      <c r="Q236" s="12" t="str">
        <f t="shared" si="38"/>
        <v>220µF</v>
      </c>
      <c r="R236" s="12" t="str">
        <f t="shared" si="39"/>
        <v>16v</v>
      </c>
      <c r="S236" s="8" t="str">
        <f t="shared" si="34"/>
        <v>220µF 16v - R08.0-12.0 Hitano (EXR)</v>
      </c>
      <c r="T236" s="8">
        <f t="shared" si="40"/>
        <v>1</v>
      </c>
      <c r="U236" s="8" t="b">
        <f>NOT(ISNA(MATCH($P236,Packages!$A:$A,0)))</f>
        <v>1</v>
      </c>
    </row>
    <row r="237" spans="1:21">
      <c r="A237" s="6" t="s">
        <v>49</v>
      </c>
      <c r="B237" s="6" t="s">
        <v>52</v>
      </c>
      <c r="C237" s="33">
        <v>330</v>
      </c>
      <c r="D237" s="34">
        <v>16</v>
      </c>
      <c r="E237" s="6" t="s">
        <v>71</v>
      </c>
      <c r="F237" s="6" t="s">
        <v>59</v>
      </c>
      <c r="G237" s="6"/>
      <c r="H237" s="7" t="s">
        <v>142</v>
      </c>
      <c r="I237" s="7" t="str">
        <f t="shared" si="41"/>
        <v>HITANO</v>
      </c>
      <c r="J237" s="7" t="str">
        <f t="shared" si="44"/>
        <v>330µF</v>
      </c>
      <c r="K237" s="7" t="str">
        <f t="shared" si="45"/>
        <v>16v</v>
      </c>
      <c r="L237" s="7" t="str">
        <f t="shared" si="46"/>
        <v>EXR</v>
      </c>
      <c r="M237" s="31">
        <f t="shared" si="35"/>
        <v>8</v>
      </c>
      <c r="N237" s="31">
        <f t="shared" si="36"/>
        <v>12</v>
      </c>
      <c r="O237" s="8" t="str">
        <f t="shared" si="37"/>
        <v>Hitano-EXR</v>
      </c>
      <c r="P237" s="12" t="str">
        <f t="shared" si="33"/>
        <v>Hitano R-08.0x12.0</v>
      </c>
      <c r="Q237" s="12" t="str">
        <f t="shared" si="38"/>
        <v>330µF</v>
      </c>
      <c r="R237" s="12" t="str">
        <f t="shared" si="39"/>
        <v>16v</v>
      </c>
      <c r="S237" s="8" t="str">
        <f t="shared" si="34"/>
        <v>330µF 16v - R08.0-12.0 Hitano (EXR)</v>
      </c>
      <c r="T237" s="8">
        <f t="shared" si="40"/>
        <v>1</v>
      </c>
      <c r="U237" s="8" t="b">
        <f>NOT(ISNA(MATCH($P237,Packages!$A:$A,0)))</f>
        <v>1</v>
      </c>
    </row>
    <row r="238" spans="1:21">
      <c r="A238" s="6" t="s">
        <v>49</v>
      </c>
      <c r="B238" s="6" t="s">
        <v>52</v>
      </c>
      <c r="C238" s="33">
        <v>470</v>
      </c>
      <c r="D238" s="34">
        <v>16</v>
      </c>
      <c r="E238" s="6" t="s">
        <v>92</v>
      </c>
      <c r="F238" s="6" t="s">
        <v>59</v>
      </c>
      <c r="G238" s="6"/>
      <c r="H238" s="7" t="s">
        <v>142</v>
      </c>
      <c r="I238" s="7" t="str">
        <f t="shared" si="41"/>
        <v>HITANO</v>
      </c>
      <c r="J238" s="7" t="str">
        <f t="shared" si="44"/>
        <v>470µF</v>
      </c>
      <c r="K238" s="7" t="str">
        <f t="shared" si="45"/>
        <v>16v</v>
      </c>
      <c r="L238" s="7" t="str">
        <f t="shared" si="46"/>
        <v>EXR</v>
      </c>
      <c r="M238" s="31">
        <f t="shared" si="35"/>
        <v>10</v>
      </c>
      <c r="N238" s="31">
        <f t="shared" si="36"/>
        <v>12.5</v>
      </c>
      <c r="O238" s="8" t="str">
        <f t="shared" si="37"/>
        <v>Hitano-EXR</v>
      </c>
      <c r="P238" s="12" t="str">
        <f t="shared" si="33"/>
        <v>Hitano R-10.0x13.0</v>
      </c>
      <c r="Q238" s="12" t="str">
        <f t="shared" si="38"/>
        <v>470µF</v>
      </c>
      <c r="R238" s="12" t="str">
        <f t="shared" si="39"/>
        <v>16v</v>
      </c>
      <c r="S238" s="8" t="str">
        <f t="shared" si="34"/>
        <v>470µF 16v - R10.0-12.5 Hitano (EXR)</v>
      </c>
      <c r="T238" s="8">
        <f t="shared" si="40"/>
        <v>1</v>
      </c>
      <c r="U238" s="8" t="b">
        <f>NOT(ISNA(MATCH($P238,Packages!$A:$A,0)))</f>
        <v>1</v>
      </c>
    </row>
    <row r="239" spans="1:21">
      <c r="A239" s="6" t="s">
        <v>49</v>
      </c>
      <c r="B239" s="6" t="s">
        <v>52</v>
      </c>
      <c r="C239" s="33">
        <v>680</v>
      </c>
      <c r="D239" s="34">
        <v>16</v>
      </c>
      <c r="E239" s="6" t="s">
        <v>74</v>
      </c>
      <c r="F239" s="6" t="s">
        <v>59</v>
      </c>
      <c r="G239" s="6"/>
      <c r="H239" s="7" t="s">
        <v>142</v>
      </c>
      <c r="I239" s="7" t="str">
        <f t="shared" si="41"/>
        <v>HITANO</v>
      </c>
      <c r="J239" s="7" t="str">
        <f t="shared" si="44"/>
        <v>680µF</v>
      </c>
      <c r="K239" s="7" t="str">
        <f t="shared" si="45"/>
        <v>16v</v>
      </c>
      <c r="L239" s="7" t="str">
        <f t="shared" si="46"/>
        <v>EXR</v>
      </c>
      <c r="M239" s="31">
        <f t="shared" si="35"/>
        <v>10</v>
      </c>
      <c r="N239" s="31">
        <f t="shared" si="36"/>
        <v>16</v>
      </c>
      <c r="O239" s="8" t="str">
        <f t="shared" si="37"/>
        <v>Hitano-EXR</v>
      </c>
      <c r="P239" s="12" t="str">
        <f t="shared" si="33"/>
        <v>Hitano R-10.0x16.0</v>
      </c>
      <c r="Q239" s="12" t="str">
        <f t="shared" si="38"/>
        <v>680µF</v>
      </c>
      <c r="R239" s="12" t="str">
        <f t="shared" si="39"/>
        <v>16v</v>
      </c>
      <c r="S239" s="8" t="str">
        <f t="shared" si="34"/>
        <v>680µF 16v - R10.0-16.0 Hitano (EXR)</v>
      </c>
      <c r="T239" s="8">
        <f t="shared" si="40"/>
        <v>1</v>
      </c>
      <c r="U239" s="8" t="b">
        <f>NOT(ISNA(MATCH($P239,Packages!$A:$A,0)))</f>
        <v>1</v>
      </c>
    </row>
    <row r="240" spans="1:21">
      <c r="A240" s="6" t="s">
        <v>49</v>
      </c>
      <c r="B240" s="6" t="s">
        <v>52</v>
      </c>
      <c r="C240" s="33">
        <v>1000</v>
      </c>
      <c r="D240" s="34">
        <v>16</v>
      </c>
      <c r="E240" s="6" t="s">
        <v>75</v>
      </c>
      <c r="F240" s="6" t="s">
        <v>59</v>
      </c>
      <c r="G240" s="6"/>
      <c r="H240" s="7" t="s">
        <v>142</v>
      </c>
      <c r="I240" s="7" t="str">
        <f t="shared" si="41"/>
        <v>HITANO</v>
      </c>
      <c r="J240" s="7" t="str">
        <f t="shared" si="44"/>
        <v>1000µF</v>
      </c>
      <c r="K240" s="7" t="str">
        <f t="shared" si="45"/>
        <v>16v</v>
      </c>
      <c r="L240" s="7" t="str">
        <f t="shared" si="46"/>
        <v>EXR</v>
      </c>
      <c r="M240" s="31">
        <f t="shared" si="35"/>
        <v>10</v>
      </c>
      <c r="N240" s="31">
        <f t="shared" si="36"/>
        <v>21</v>
      </c>
      <c r="O240" s="8" t="str">
        <f t="shared" si="37"/>
        <v>Hitano-EXR</v>
      </c>
      <c r="P240" s="12" t="str">
        <f t="shared" si="33"/>
        <v>Hitano R-10.0x21.0</v>
      </c>
      <c r="Q240" s="12" t="str">
        <f t="shared" si="38"/>
        <v>1000µF</v>
      </c>
      <c r="R240" s="12" t="str">
        <f t="shared" si="39"/>
        <v>16v</v>
      </c>
      <c r="S240" s="8" t="str">
        <f t="shared" si="34"/>
        <v>1000µF 16v - R10.0-21.0 Hitano (EXR)</v>
      </c>
      <c r="T240" s="8">
        <f t="shared" si="40"/>
        <v>1</v>
      </c>
      <c r="U240" s="8" t="b">
        <f>NOT(ISNA(MATCH($P240,Packages!$A:$A,0)))</f>
        <v>1</v>
      </c>
    </row>
    <row r="241" spans="1:21">
      <c r="A241" s="6" t="s">
        <v>49</v>
      </c>
      <c r="B241" s="6" t="s">
        <v>52</v>
      </c>
      <c r="C241" s="33">
        <v>1500</v>
      </c>
      <c r="D241" s="34">
        <v>16</v>
      </c>
      <c r="E241" s="6" t="s">
        <v>76</v>
      </c>
      <c r="F241" s="6" t="s">
        <v>59</v>
      </c>
      <c r="G241" s="6"/>
      <c r="H241" s="7" t="s">
        <v>142</v>
      </c>
      <c r="I241" s="7" t="str">
        <f t="shared" si="41"/>
        <v>HITANO</v>
      </c>
      <c r="J241" s="7" t="str">
        <f t="shared" si="44"/>
        <v>1500µF</v>
      </c>
      <c r="K241" s="7" t="str">
        <f t="shared" si="45"/>
        <v>16v</v>
      </c>
      <c r="L241" s="7" t="str">
        <f t="shared" si="46"/>
        <v>EXR</v>
      </c>
      <c r="M241" s="31">
        <f t="shared" si="35"/>
        <v>13</v>
      </c>
      <c r="N241" s="31">
        <f t="shared" si="36"/>
        <v>21</v>
      </c>
      <c r="O241" s="8" t="str">
        <f t="shared" si="37"/>
        <v>Hitano-EXR</v>
      </c>
      <c r="P241" s="12" t="str">
        <f t="shared" si="33"/>
        <v>Hitano R-13.0x21.0</v>
      </c>
      <c r="Q241" s="12" t="str">
        <f t="shared" si="38"/>
        <v>1500µF</v>
      </c>
      <c r="R241" s="12" t="str">
        <f t="shared" si="39"/>
        <v>16v</v>
      </c>
      <c r="S241" s="8" t="str">
        <f t="shared" si="34"/>
        <v>1500µF 16v - R13.0-21.0 Hitano (EXR)</v>
      </c>
      <c r="T241" s="8">
        <f t="shared" si="40"/>
        <v>1</v>
      </c>
      <c r="U241" s="8" t="b">
        <f>NOT(ISNA(MATCH($P241,Packages!$A:$A,0)))</f>
        <v>1</v>
      </c>
    </row>
    <row r="242" spans="1:21">
      <c r="A242" s="6" t="s">
        <v>49</v>
      </c>
      <c r="B242" s="6" t="s">
        <v>52</v>
      </c>
      <c r="C242" s="33">
        <v>2200</v>
      </c>
      <c r="D242" s="34">
        <v>16</v>
      </c>
      <c r="E242" s="6" t="s">
        <v>76</v>
      </c>
      <c r="F242" s="6" t="s">
        <v>59</v>
      </c>
      <c r="G242" s="6"/>
      <c r="H242" s="7" t="s">
        <v>142</v>
      </c>
      <c r="I242" s="7" t="str">
        <f t="shared" si="41"/>
        <v>HITANO</v>
      </c>
      <c r="J242" s="7" t="str">
        <f t="shared" si="44"/>
        <v>2200µF</v>
      </c>
      <c r="K242" s="7" t="str">
        <f t="shared" si="45"/>
        <v>16v</v>
      </c>
      <c r="L242" s="7" t="str">
        <f t="shared" si="46"/>
        <v>EXR</v>
      </c>
      <c r="M242" s="31">
        <f t="shared" si="35"/>
        <v>13</v>
      </c>
      <c r="N242" s="31">
        <f t="shared" si="36"/>
        <v>21</v>
      </c>
      <c r="O242" s="8" t="str">
        <f t="shared" si="37"/>
        <v>Hitano-EXR</v>
      </c>
      <c r="P242" s="12" t="str">
        <f t="shared" si="33"/>
        <v>Hitano R-13.0x21.0</v>
      </c>
      <c r="Q242" s="12" t="str">
        <f t="shared" si="38"/>
        <v>2200µF</v>
      </c>
      <c r="R242" s="12" t="str">
        <f t="shared" si="39"/>
        <v>16v</v>
      </c>
      <c r="S242" s="8" t="str">
        <f t="shared" si="34"/>
        <v>2200µF 16v - R13.0-21.0 Hitano (EXR)</v>
      </c>
      <c r="T242" s="8">
        <f t="shared" si="40"/>
        <v>1</v>
      </c>
      <c r="U242" s="8" t="b">
        <f>NOT(ISNA(MATCH($P242,Packages!$A:$A,0)))</f>
        <v>1</v>
      </c>
    </row>
    <row r="243" spans="1:21">
      <c r="A243" s="6" t="s">
        <v>49</v>
      </c>
      <c r="B243" s="6" t="s">
        <v>52</v>
      </c>
      <c r="C243" s="33">
        <v>3300</v>
      </c>
      <c r="D243" s="34">
        <v>16</v>
      </c>
      <c r="E243" s="6" t="s">
        <v>78</v>
      </c>
      <c r="F243" s="6" t="s">
        <v>59</v>
      </c>
      <c r="G243" s="6"/>
      <c r="H243" s="7" t="s">
        <v>142</v>
      </c>
      <c r="I243" s="7" t="str">
        <f t="shared" si="41"/>
        <v>HITANO</v>
      </c>
      <c r="J243" s="7" t="str">
        <f t="shared" si="44"/>
        <v>3300µF</v>
      </c>
      <c r="K243" s="7" t="str">
        <f t="shared" si="45"/>
        <v>16v</v>
      </c>
      <c r="L243" s="7" t="str">
        <f t="shared" si="46"/>
        <v>EXR</v>
      </c>
      <c r="M243" s="31">
        <f t="shared" si="35"/>
        <v>16</v>
      </c>
      <c r="N243" s="31">
        <f t="shared" si="36"/>
        <v>26</v>
      </c>
      <c r="O243" s="8" t="str">
        <f t="shared" si="37"/>
        <v>Hitano-EXR</v>
      </c>
      <c r="P243" s="12" t="str">
        <f t="shared" si="33"/>
        <v>Hitano R-16.0x26.0</v>
      </c>
      <c r="Q243" s="12" t="str">
        <f t="shared" si="38"/>
        <v>3300µF</v>
      </c>
      <c r="R243" s="12" t="str">
        <f t="shared" si="39"/>
        <v>16v</v>
      </c>
      <c r="S243" s="8" t="str">
        <f t="shared" si="34"/>
        <v>3300µF 16v - R16.0-26.0 Hitano (EXR)</v>
      </c>
      <c r="T243" s="8">
        <f t="shared" si="40"/>
        <v>1</v>
      </c>
      <c r="U243" s="8" t="b">
        <f>NOT(ISNA(MATCH($P243,Packages!$A:$A,0)))</f>
        <v>1</v>
      </c>
    </row>
    <row r="244" spans="1:21">
      <c r="A244" s="6" t="s">
        <v>49</v>
      </c>
      <c r="B244" s="6" t="s">
        <v>52</v>
      </c>
      <c r="C244" s="33">
        <v>4700</v>
      </c>
      <c r="D244" s="34">
        <v>16</v>
      </c>
      <c r="E244" s="6" t="s">
        <v>98</v>
      </c>
      <c r="F244" s="6" t="s">
        <v>59</v>
      </c>
      <c r="G244" s="6"/>
      <c r="H244" s="7" t="s">
        <v>142</v>
      </c>
      <c r="I244" s="7" t="str">
        <f t="shared" si="41"/>
        <v>HITANO</v>
      </c>
      <c r="J244" s="7" t="str">
        <f t="shared" si="44"/>
        <v>4700µF</v>
      </c>
      <c r="K244" s="7" t="str">
        <f t="shared" si="45"/>
        <v>16v</v>
      </c>
      <c r="L244" s="7" t="str">
        <f t="shared" si="46"/>
        <v>EXR</v>
      </c>
      <c r="M244" s="31">
        <f t="shared" si="35"/>
        <v>16</v>
      </c>
      <c r="N244" s="31">
        <f t="shared" si="36"/>
        <v>31.5</v>
      </c>
      <c r="O244" s="8" t="str">
        <f t="shared" si="37"/>
        <v>Hitano-EXR</v>
      </c>
      <c r="P244" s="12" t="str">
        <f t="shared" si="33"/>
        <v>Hitano R-16.0x32.0</v>
      </c>
      <c r="Q244" s="12" t="str">
        <f t="shared" si="38"/>
        <v>4700µF</v>
      </c>
      <c r="R244" s="12" t="str">
        <f t="shared" si="39"/>
        <v>16v</v>
      </c>
      <c r="S244" s="8" t="str">
        <f t="shared" si="34"/>
        <v>4700µF 16v - R16.0-31.5 Hitano (EXR)</v>
      </c>
      <c r="T244" s="8">
        <f t="shared" si="40"/>
        <v>1</v>
      </c>
      <c r="U244" s="8" t="b">
        <f>NOT(ISNA(MATCH($P244,Packages!$A:$A,0)))</f>
        <v>1</v>
      </c>
    </row>
    <row r="245" spans="1:21">
      <c r="A245" s="6" t="s">
        <v>49</v>
      </c>
      <c r="B245" s="6" t="s">
        <v>52</v>
      </c>
      <c r="C245" s="33">
        <v>6800</v>
      </c>
      <c r="D245" s="34">
        <v>16</v>
      </c>
      <c r="E245" s="6" t="s">
        <v>79</v>
      </c>
      <c r="F245" s="6" t="s">
        <v>59</v>
      </c>
      <c r="G245" s="6"/>
      <c r="H245" s="7" t="s">
        <v>142</v>
      </c>
      <c r="I245" s="7" t="str">
        <f t="shared" si="41"/>
        <v>HITANO</v>
      </c>
      <c r="J245" s="7" t="str">
        <f t="shared" si="44"/>
        <v>6800µF</v>
      </c>
      <c r="K245" s="7" t="str">
        <f t="shared" si="45"/>
        <v>16v</v>
      </c>
      <c r="L245" s="7" t="str">
        <f t="shared" si="46"/>
        <v>EXR</v>
      </c>
      <c r="M245" s="31">
        <f t="shared" si="35"/>
        <v>16</v>
      </c>
      <c r="N245" s="31">
        <f t="shared" si="36"/>
        <v>36</v>
      </c>
      <c r="O245" s="8" t="str">
        <f t="shared" si="37"/>
        <v>Hitano-EXR</v>
      </c>
      <c r="P245" s="12" t="str">
        <f t="shared" si="33"/>
        <v>Hitano R-16.0x36.0</v>
      </c>
      <c r="Q245" s="12" t="str">
        <f t="shared" si="38"/>
        <v>6800µF</v>
      </c>
      <c r="R245" s="12" t="str">
        <f t="shared" si="39"/>
        <v>16v</v>
      </c>
      <c r="S245" s="8" t="str">
        <f t="shared" si="34"/>
        <v>6800µF 16v - R16.0-36.0 Hitano (EXR)</v>
      </c>
      <c r="T245" s="8">
        <f t="shared" si="40"/>
        <v>1</v>
      </c>
      <c r="U245" s="8" t="b">
        <f>NOT(ISNA(MATCH($P245,Packages!$A:$A,0)))</f>
        <v>1</v>
      </c>
    </row>
    <row r="246" spans="1:21">
      <c r="A246" s="6" t="s">
        <v>49</v>
      </c>
      <c r="B246" s="6" t="s">
        <v>52</v>
      </c>
      <c r="C246" s="33">
        <v>10000</v>
      </c>
      <c r="D246" s="34">
        <v>16</v>
      </c>
      <c r="E246" s="6" t="s">
        <v>80</v>
      </c>
      <c r="F246" s="6" t="s">
        <v>59</v>
      </c>
      <c r="G246" s="6"/>
      <c r="H246" s="7" t="s">
        <v>142</v>
      </c>
      <c r="I246" s="7" t="str">
        <f t="shared" si="41"/>
        <v>HITANO</v>
      </c>
      <c r="J246" s="7" t="str">
        <f t="shared" si="44"/>
        <v>10000µF</v>
      </c>
      <c r="K246" s="7" t="str">
        <f t="shared" si="45"/>
        <v>16v</v>
      </c>
      <c r="L246" s="7" t="str">
        <f t="shared" si="46"/>
        <v>EXR</v>
      </c>
      <c r="M246" s="31">
        <f t="shared" si="35"/>
        <v>18</v>
      </c>
      <c r="N246" s="31">
        <f t="shared" si="36"/>
        <v>36</v>
      </c>
      <c r="O246" s="8" t="str">
        <f t="shared" si="37"/>
        <v>Hitano-EXR</v>
      </c>
      <c r="P246" s="12" t="str">
        <f t="shared" si="33"/>
        <v>Hitano R-18.0x36.0</v>
      </c>
      <c r="Q246" s="12" t="str">
        <f t="shared" si="38"/>
        <v>10000µF</v>
      </c>
      <c r="R246" s="12" t="str">
        <f t="shared" si="39"/>
        <v>16v</v>
      </c>
      <c r="S246" s="8" t="str">
        <f t="shared" si="34"/>
        <v>10000µF 16v - R18.0-36.0 Hitano (EXR)</v>
      </c>
      <c r="T246" s="8">
        <f t="shared" si="40"/>
        <v>1</v>
      </c>
      <c r="U246" s="8" t="b">
        <f>NOT(ISNA(MATCH($P246,Packages!$A:$A,0)))</f>
        <v>1</v>
      </c>
    </row>
    <row r="247" spans="1:21">
      <c r="A247" s="6" t="s">
        <v>49</v>
      </c>
      <c r="B247" s="6" t="s">
        <v>52</v>
      </c>
      <c r="C247" s="33">
        <v>10</v>
      </c>
      <c r="D247" s="34">
        <v>25</v>
      </c>
      <c r="E247" s="6" t="s">
        <v>68</v>
      </c>
      <c r="F247" s="6" t="s">
        <v>59</v>
      </c>
      <c r="G247" s="6"/>
      <c r="H247" s="7" t="s">
        <v>142</v>
      </c>
      <c r="I247" s="7" t="str">
        <f t="shared" si="41"/>
        <v>HITANO</v>
      </c>
      <c r="J247" s="7" t="str">
        <f t="shared" si="44"/>
        <v>10µF</v>
      </c>
      <c r="K247" s="7" t="str">
        <f t="shared" si="45"/>
        <v>25v</v>
      </c>
      <c r="L247" s="7" t="str">
        <f t="shared" si="46"/>
        <v>EXR</v>
      </c>
      <c r="M247" s="31">
        <f t="shared" si="35"/>
        <v>5</v>
      </c>
      <c r="N247" s="31">
        <f t="shared" si="36"/>
        <v>11</v>
      </c>
      <c r="O247" s="8" t="str">
        <f t="shared" si="37"/>
        <v>Hitano-EXR</v>
      </c>
      <c r="P247" s="12" t="str">
        <f t="shared" si="33"/>
        <v>Hitano R-05.0x11.0</v>
      </c>
      <c r="Q247" s="12" t="str">
        <f t="shared" si="38"/>
        <v>10µF</v>
      </c>
      <c r="R247" s="12" t="str">
        <f t="shared" si="39"/>
        <v>25v</v>
      </c>
      <c r="S247" s="8" t="str">
        <f t="shared" si="34"/>
        <v>10µF 25v - R05.0-11.0 Hitano (EXR)</v>
      </c>
      <c r="T247" s="8">
        <f t="shared" si="40"/>
        <v>1</v>
      </c>
      <c r="U247" s="8" t="b">
        <f>NOT(ISNA(MATCH($P247,Packages!$A:$A,0)))</f>
        <v>1</v>
      </c>
    </row>
    <row r="248" spans="1:21">
      <c r="A248" s="6" t="s">
        <v>49</v>
      </c>
      <c r="B248" s="6" t="s">
        <v>52</v>
      </c>
      <c r="C248" s="33">
        <v>22</v>
      </c>
      <c r="D248" s="34">
        <v>25</v>
      </c>
      <c r="E248" s="6" t="s">
        <v>68</v>
      </c>
      <c r="F248" s="6" t="s">
        <v>59</v>
      </c>
      <c r="G248" s="6"/>
      <c r="H248" s="7" t="s">
        <v>142</v>
      </c>
      <c r="I248" s="7" t="str">
        <f t="shared" si="41"/>
        <v>HITANO</v>
      </c>
      <c r="J248" s="7" t="str">
        <f t="shared" si="44"/>
        <v>22µF</v>
      </c>
      <c r="K248" s="7" t="str">
        <f t="shared" si="45"/>
        <v>25v</v>
      </c>
      <c r="L248" s="7" t="str">
        <f t="shared" si="46"/>
        <v>EXR</v>
      </c>
      <c r="M248" s="31">
        <f t="shared" si="35"/>
        <v>5</v>
      </c>
      <c r="N248" s="31">
        <f t="shared" si="36"/>
        <v>11</v>
      </c>
      <c r="O248" s="8" t="str">
        <f t="shared" si="37"/>
        <v>Hitano-EXR</v>
      </c>
      <c r="P248" s="12" t="str">
        <f t="shared" si="33"/>
        <v>Hitano R-05.0x11.0</v>
      </c>
      <c r="Q248" s="12" t="str">
        <f t="shared" si="38"/>
        <v>22µF</v>
      </c>
      <c r="R248" s="12" t="str">
        <f t="shared" si="39"/>
        <v>25v</v>
      </c>
      <c r="S248" s="8" t="str">
        <f t="shared" si="34"/>
        <v>22µF 25v - R05.0-11.0 Hitano (EXR)</v>
      </c>
      <c r="T248" s="8">
        <f t="shared" si="40"/>
        <v>1</v>
      </c>
      <c r="U248" s="8" t="b">
        <f>NOT(ISNA(MATCH($P248,Packages!$A:$A,0)))</f>
        <v>1</v>
      </c>
    </row>
    <row r="249" spans="1:21">
      <c r="A249" s="6" t="s">
        <v>49</v>
      </c>
      <c r="B249" s="6" t="s">
        <v>52</v>
      </c>
      <c r="C249" s="33">
        <v>33</v>
      </c>
      <c r="D249" s="34">
        <v>25</v>
      </c>
      <c r="E249" s="6" t="s">
        <v>68</v>
      </c>
      <c r="F249" s="6" t="s">
        <v>59</v>
      </c>
      <c r="G249" s="6"/>
      <c r="H249" s="7" t="s">
        <v>142</v>
      </c>
      <c r="I249" s="7" t="str">
        <f t="shared" si="41"/>
        <v>HITANO</v>
      </c>
      <c r="J249" s="7" t="str">
        <f t="shared" si="44"/>
        <v>33µF</v>
      </c>
      <c r="K249" s="7" t="str">
        <f t="shared" si="45"/>
        <v>25v</v>
      </c>
      <c r="L249" s="7" t="str">
        <f t="shared" si="46"/>
        <v>EXR</v>
      </c>
      <c r="M249" s="31">
        <f t="shared" si="35"/>
        <v>5</v>
      </c>
      <c r="N249" s="31">
        <f t="shared" si="36"/>
        <v>11</v>
      </c>
      <c r="O249" s="8" t="str">
        <f t="shared" si="37"/>
        <v>Hitano-EXR</v>
      </c>
      <c r="P249" s="12" t="str">
        <f t="shared" si="33"/>
        <v>Hitano R-05.0x11.0</v>
      </c>
      <c r="Q249" s="12" t="str">
        <f t="shared" si="38"/>
        <v>33µF</v>
      </c>
      <c r="R249" s="12" t="str">
        <f t="shared" si="39"/>
        <v>25v</v>
      </c>
      <c r="S249" s="8" t="str">
        <f t="shared" si="34"/>
        <v>33µF 25v - R05.0-11.0 Hitano (EXR)</v>
      </c>
      <c r="T249" s="8">
        <f t="shared" si="40"/>
        <v>1</v>
      </c>
      <c r="U249" s="8" t="b">
        <f>NOT(ISNA(MATCH($P249,Packages!$A:$A,0)))</f>
        <v>1</v>
      </c>
    </row>
    <row r="250" spans="1:21">
      <c r="A250" s="6" t="s">
        <v>49</v>
      </c>
      <c r="B250" s="6" t="s">
        <v>52</v>
      </c>
      <c r="C250" s="33">
        <v>47</v>
      </c>
      <c r="D250" s="34">
        <v>25</v>
      </c>
      <c r="E250" s="6" t="s">
        <v>68</v>
      </c>
      <c r="F250" s="6" t="s">
        <v>59</v>
      </c>
      <c r="G250" s="6"/>
      <c r="H250" s="7" t="s">
        <v>142</v>
      </c>
      <c r="I250" s="7" t="str">
        <f t="shared" si="41"/>
        <v>HITANO</v>
      </c>
      <c r="J250" s="7" t="str">
        <f t="shared" si="44"/>
        <v>47µF</v>
      </c>
      <c r="K250" s="7" t="str">
        <f t="shared" si="45"/>
        <v>25v</v>
      </c>
      <c r="L250" s="7" t="str">
        <f t="shared" si="46"/>
        <v>EXR</v>
      </c>
      <c r="M250" s="31">
        <f t="shared" si="35"/>
        <v>5</v>
      </c>
      <c r="N250" s="31">
        <f t="shared" si="36"/>
        <v>11</v>
      </c>
      <c r="O250" s="8" t="str">
        <f t="shared" si="37"/>
        <v>Hitano-EXR</v>
      </c>
      <c r="P250" s="12" t="str">
        <f t="shared" si="33"/>
        <v>Hitano R-05.0x11.0</v>
      </c>
      <c r="Q250" s="12" t="str">
        <f t="shared" si="38"/>
        <v>47µF</v>
      </c>
      <c r="R250" s="12" t="str">
        <f t="shared" si="39"/>
        <v>25v</v>
      </c>
      <c r="S250" s="8" t="str">
        <f t="shared" si="34"/>
        <v>47µF 25v - R05.0-11.0 Hitano (EXR)</v>
      </c>
      <c r="T250" s="8">
        <f t="shared" si="40"/>
        <v>1</v>
      </c>
      <c r="U250" s="8" t="b">
        <f>NOT(ISNA(MATCH($P250,Packages!$A:$A,0)))</f>
        <v>1</v>
      </c>
    </row>
    <row r="251" spans="1:21">
      <c r="A251" s="6" t="s">
        <v>49</v>
      </c>
      <c r="B251" s="6" t="s">
        <v>52</v>
      </c>
      <c r="C251" s="33">
        <v>68</v>
      </c>
      <c r="D251" s="34">
        <v>25</v>
      </c>
      <c r="E251" s="6" t="s">
        <v>69</v>
      </c>
      <c r="F251" s="6" t="s">
        <v>59</v>
      </c>
      <c r="G251" s="6"/>
      <c r="H251" s="7" t="s">
        <v>142</v>
      </c>
      <c r="I251" s="7" t="str">
        <f t="shared" si="41"/>
        <v>HITANO</v>
      </c>
      <c r="J251" s="7" t="str">
        <f t="shared" si="44"/>
        <v>68µF</v>
      </c>
      <c r="K251" s="7" t="str">
        <f t="shared" si="45"/>
        <v>25v</v>
      </c>
      <c r="L251" s="7" t="str">
        <f t="shared" si="46"/>
        <v>EXR</v>
      </c>
      <c r="M251" s="31">
        <f t="shared" si="35"/>
        <v>6.3</v>
      </c>
      <c r="N251" s="31">
        <f t="shared" si="36"/>
        <v>11</v>
      </c>
      <c r="O251" s="8" t="str">
        <f t="shared" si="37"/>
        <v>Hitano-EXR</v>
      </c>
      <c r="P251" s="12" t="str">
        <f t="shared" si="33"/>
        <v>Hitano R-06.0x11.0</v>
      </c>
      <c r="Q251" s="12" t="str">
        <f t="shared" si="38"/>
        <v>68µF</v>
      </c>
      <c r="R251" s="12" t="str">
        <f t="shared" si="39"/>
        <v>25v</v>
      </c>
      <c r="S251" s="8" t="str">
        <f t="shared" si="34"/>
        <v>68µF 25v - R06.3-11.0 Hitano (EXR)</v>
      </c>
      <c r="T251" s="8">
        <f t="shared" si="40"/>
        <v>1</v>
      </c>
      <c r="U251" s="8" t="b">
        <f>NOT(ISNA(MATCH($P251,Packages!$A:$A,0)))</f>
        <v>1</v>
      </c>
    </row>
    <row r="252" spans="1:21">
      <c r="A252" s="6" t="s">
        <v>49</v>
      </c>
      <c r="B252" s="6" t="s">
        <v>52</v>
      </c>
      <c r="C252" s="33">
        <v>100</v>
      </c>
      <c r="D252" s="34">
        <v>25</v>
      </c>
      <c r="E252" s="6" t="s">
        <v>69</v>
      </c>
      <c r="F252" s="6" t="s">
        <v>59</v>
      </c>
      <c r="G252" s="6"/>
      <c r="H252" s="7" t="s">
        <v>142</v>
      </c>
      <c r="I252" s="7" t="str">
        <f t="shared" si="41"/>
        <v>HITANO</v>
      </c>
      <c r="J252" s="7" t="str">
        <f t="shared" si="44"/>
        <v>100µF</v>
      </c>
      <c r="K252" s="7" t="str">
        <f t="shared" si="45"/>
        <v>25v</v>
      </c>
      <c r="L252" s="7" t="str">
        <f t="shared" si="46"/>
        <v>EXR</v>
      </c>
      <c r="M252" s="31">
        <f t="shared" si="35"/>
        <v>6.3</v>
      </c>
      <c r="N252" s="31">
        <f t="shared" si="36"/>
        <v>11</v>
      </c>
      <c r="O252" s="8" t="str">
        <f t="shared" si="37"/>
        <v>Hitano-EXR</v>
      </c>
      <c r="P252" s="12" t="str">
        <f t="shared" si="33"/>
        <v>Hitano R-06.0x11.0</v>
      </c>
      <c r="Q252" s="12" t="str">
        <f t="shared" si="38"/>
        <v>100µF</v>
      </c>
      <c r="R252" s="12" t="str">
        <f t="shared" si="39"/>
        <v>25v</v>
      </c>
      <c r="S252" s="8" t="str">
        <f t="shared" si="34"/>
        <v>100µF 25v - R06.3-11.0 Hitano (EXR)</v>
      </c>
      <c r="T252" s="8">
        <f t="shared" si="40"/>
        <v>1</v>
      </c>
      <c r="U252" s="8" t="b">
        <f>NOT(ISNA(MATCH($P252,Packages!$A:$A,0)))</f>
        <v>1</v>
      </c>
    </row>
    <row r="253" spans="1:21">
      <c r="A253" s="6" t="s">
        <v>49</v>
      </c>
      <c r="B253" s="6" t="s">
        <v>52</v>
      </c>
      <c r="C253" s="33">
        <v>150</v>
      </c>
      <c r="D253" s="34">
        <v>25</v>
      </c>
      <c r="E253" s="6" t="s">
        <v>71</v>
      </c>
      <c r="F253" s="6" t="s">
        <v>59</v>
      </c>
      <c r="G253" s="6"/>
      <c r="H253" s="7" t="s">
        <v>142</v>
      </c>
      <c r="I253" s="7" t="str">
        <f t="shared" si="41"/>
        <v>HITANO</v>
      </c>
      <c r="J253" s="7" t="str">
        <f t="shared" si="44"/>
        <v>150µF</v>
      </c>
      <c r="K253" s="7" t="str">
        <f t="shared" si="45"/>
        <v>25v</v>
      </c>
      <c r="L253" s="7" t="str">
        <f t="shared" si="46"/>
        <v>EXR</v>
      </c>
      <c r="M253" s="31">
        <f t="shared" si="35"/>
        <v>8</v>
      </c>
      <c r="N253" s="31">
        <f t="shared" si="36"/>
        <v>12</v>
      </c>
      <c r="O253" s="8" t="str">
        <f t="shared" si="37"/>
        <v>Hitano-EXR</v>
      </c>
      <c r="P253" s="12" t="str">
        <f t="shared" si="33"/>
        <v>Hitano R-08.0x12.0</v>
      </c>
      <c r="Q253" s="12" t="str">
        <f t="shared" si="38"/>
        <v>150µF</v>
      </c>
      <c r="R253" s="12" t="str">
        <f t="shared" si="39"/>
        <v>25v</v>
      </c>
      <c r="S253" s="8" t="str">
        <f t="shared" si="34"/>
        <v>150µF 25v - R08.0-12.0 Hitano (EXR)</v>
      </c>
      <c r="T253" s="8">
        <f t="shared" si="40"/>
        <v>1</v>
      </c>
      <c r="U253" s="8" t="b">
        <f>NOT(ISNA(MATCH($P253,Packages!$A:$A,0)))</f>
        <v>1</v>
      </c>
    </row>
    <row r="254" spans="1:21">
      <c r="A254" s="6" t="s">
        <v>49</v>
      </c>
      <c r="B254" s="6" t="s">
        <v>52</v>
      </c>
      <c r="C254" s="33">
        <v>220</v>
      </c>
      <c r="D254" s="34">
        <v>25</v>
      </c>
      <c r="E254" s="6" t="s">
        <v>71</v>
      </c>
      <c r="F254" s="6" t="s">
        <v>59</v>
      </c>
      <c r="G254" s="6"/>
      <c r="H254" s="7" t="s">
        <v>142</v>
      </c>
      <c r="I254" s="7" t="str">
        <f t="shared" si="41"/>
        <v>HITANO</v>
      </c>
      <c r="J254" s="7" t="str">
        <f t="shared" si="44"/>
        <v>220µF</v>
      </c>
      <c r="K254" s="7" t="str">
        <f t="shared" si="45"/>
        <v>25v</v>
      </c>
      <c r="L254" s="7" t="str">
        <f t="shared" si="46"/>
        <v>EXR</v>
      </c>
      <c r="M254" s="31">
        <f t="shared" si="35"/>
        <v>8</v>
      </c>
      <c r="N254" s="31">
        <f t="shared" si="36"/>
        <v>12</v>
      </c>
      <c r="O254" s="8" t="str">
        <f t="shared" si="37"/>
        <v>Hitano-EXR</v>
      </c>
      <c r="P254" s="12" t="str">
        <f t="shared" si="33"/>
        <v>Hitano R-08.0x12.0</v>
      </c>
      <c r="Q254" s="12" t="str">
        <f t="shared" si="38"/>
        <v>220µF</v>
      </c>
      <c r="R254" s="12" t="str">
        <f t="shared" si="39"/>
        <v>25v</v>
      </c>
      <c r="S254" s="8" t="str">
        <f t="shared" si="34"/>
        <v>220µF 25v - R08.0-12.0 Hitano (EXR)</v>
      </c>
      <c r="T254" s="8">
        <f t="shared" si="40"/>
        <v>1</v>
      </c>
      <c r="U254" s="8" t="b">
        <f>NOT(ISNA(MATCH($P254,Packages!$A:$A,0)))</f>
        <v>1</v>
      </c>
    </row>
    <row r="255" spans="1:21">
      <c r="A255" s="6" t="s">
        <v>49</v>
      </c>
      <c r="B255" s="6" t="s">
        <v>52</v>
      </c>
      <c r="C255" s="33">
        <v>330</v>
      </c>
      <c r="D255" s="34">
        <v>25</v>
      </c>
      <c r="E255" s="6" t="s">
        <v>73</v>
      </c>
      <c r="F255" s="6" t="s">
        <v>59</v>
      </c>
      <c r="G255" s="6"/>
      <c r="H255" s="7" t="s">
        <v>142</v>
      </c>
      <c r="I255" s="7" t="str">
        <f t="shared" si="41"/>
        <v>HITANO</v>
      </c>
      <c r="J255" s="7" t="str">
        <f t="shared" si="44"/>
        <v>330µF</v>
      </c>
      <c r="K255" s="7" t="str">
        <f t="shared" si="45"/>
        <v>25v</v>
      </c>
      <c r="L255" s="7" t="str">
        <f t="shared" si="46"/>
        <v>EXR</v>
      </c>
      <c r="M255" s="31">
        <f t="shared" si="35"/>
        <v>8</v>
      </c>
      <c r="N255" s="31">
        <f t="shared" si="36"/>
        <v>14</v>
      </c>
      <c r="O255" s="8" t="str">
        <f t="shared" si="37"/>
        <v>Hitano-EXR</v>
      </c>
      <c r="P255" s="12" t="str">
        <f t="shared" si="33"/>
        <v>Hitano R-08.0x14.0</v>
      </c>
      <c r="Q255" s="12" t="str">
        <f t="shared" si="38"/>
        <v>330µF</v>
      </c>
      <c r="R255" s="12" t="str">
        <f t="shared" si="39"/>
        <v>25v</v>
      </c>
      <c r="S255" s="8" t="str">
        <f t="shared" si="34"/>
        <v>330µF 25v - R08.0-14.0 Hitano (EXR)</v>
      </c>
      <c r="T255" s="8">
        <f t="shared" si="40"/>
        <v>1</v>
      </c>
      <c r="U255" s="8" t="b">
        <f>NOT(ISNA(MATCH($P255,Packages!$A:$A,0)))</f>
        <v>1</v>
      </c>
    </row>
    <row r="256" spans="1:21">
      <c r="A256" s="6" t="s">
        <v>49</v>
      </c>
      <c r="B256" s="6" t="s">
        <v>52</v>
      </c>
      <c r="C256" s="33">
        <v>470</v>
      </c>
      <c r="D256" s="34">
        <v>25</v>
      </c>
      <c r="E256" s="6" t="s">
        <v>74</v>
      </c>
      <c r="F256" s="6" t="s">
        <v>59</v>
      </c>
      <c r="G256" s="6"/>
      <c r="H256" s="7" t="s">
        <v>142</v>
      </c>
      <c r="I256" s="7" t="str">
        <f t="shared" si="41"/>
        <v>HITANO</v>
      </c>
      <c r="J256" s="7" t="str">
        <f t="shared" si="44"/>
        <v>470µF</v>
      </c>
      <c r="K256" s="7" t="str">
        <f t="shared" si="45"/>
        <v>25v</v>
      </c>
      <c r="L256" s="7" t="str">
        <f t="shared" si="46"/>
        <v>EXR</v>
      </c>
      <c r="M256" s="31">
        <f t="shared" si="35"/>
        <v>10</v>
      </c>
      <c r="N256" s="31">
        <f t="shared" si="36"/>
        <v>16</v>
      </c>
      <c r="O256" s="8" t="str">
        <f t="shared" si="37"/>
        <v>Hitano-EXR</v>
      </c>
      <c r="P256" s="12" t="str">
        <f t="shared" si="33"/>
        <v>Hitano R-10.0x16.0</v>
      </c>
      <c r="Q256" s="12" t="str">
        <f t="shared" si="38"/>
        <v>470µF</v>
      </c>
      <c r="R256" s="12" t="str">
        <f t="shared" si="39"/>
        <v>25v</v>
      </c>
      <c r="S256" s="8" t="str">
        <f t="shared" si="34"/>
        <v>470µF 25v - R10.0-16.0 Hitano (EXR)</v>
      </c>
      <c r="T256" s="8">
        <f t="shared" si="40"/>
        <v>1</v>
      </c>
      <c r="U256" s="8" t="b">
        <f>NOT(ISNA(MATCH($P256,Packages!$A:$A,0)))</f>
        <v>1</v>
      </c>
    </row>
    <row r="257" spans="1:21">
      <c r="A257" s="6" t="s">
        <v>49</v>
      </c>
      <c r="B257" s="6" t="s">
        <v>52</v>
      </c>
      <c r="C257" s="33">
        <v>680</v>
      </c>
      <c r="D257" s="34">
        <v>25</v>
      </c>
      <c r="E257" s="6" t="s">
        <v>75</v>
      </c>
      <c r="F257" s="6" t="s">
        <v>59</v>
      </c>
      <c r="G257" s="6"/>
      <c r="H257" s="7" t="s">
        <v>142</v>
      </c>
      <c r="I257" s="7" t="str">
        <f t="shared" si="41"/>
        <v>HITANO</v>
      </c>
      <c r="J257" s="7" t="str">
        <f t="shared" si="44"/>
        <v>680µF</v>
      </c>
      <c r="K257" s="7" t="str">
        <f t="shared" si="45"/>
        <v>25v</v>
      </c>
      <c r="L257" s="7" t="str">
        <f t="shared" si="46"/>
        <v>EXR</v>
      </c>
      <c r="M257" s="31">
        <f t="shared" si="35"/>
        <v>10</v>
      </c>
      <c r="N257" s="31">
        <f t="shared" si="36"/>
        <v>21</v>
      </c>
      <c r="O257" s="8" t="str">
        <f t="shared" si="37"/>
        <v>Hitano-EXR</v>
      </c>
      <c r="P257" s="12" t="str">
        <f t="shared" si="33"/>
        <v>Hitano R-10.0x21.0</v>
      </c>
      <c r="Q257" s="12" t="str">
        <f t="shared" si="38"/>
        <v>680µF</v>
      </c>
      <c r="R257" s="12" t="str">
        <f t="shared" si="39"/>
        <v>25v</v>
      </c>
      <c r="S257" s="8" t="str">
        <f t="shared" si="34"/>
        <v>680µF 25v - R10.0-21.0 Hitano (EXR)</v>
      </c>
      <c r="T257" s="8">
        <f t="shared" si="40"/>
        <v>1</v>
      </c>
      <c r="U257" s="8" t="b">
        <f>NOT(ISNA(MATCH($P257,Packages!$A:$A,0)))</f>
        <v>1</v>
      </c>
    </row>
    <row r="258" spans="1:21">
      <c r="A258" s="6" t="s">
        <v>49</v>
      </c>
      <c r="B258" s="6" t="s">
        <v>52</v>
      </c>
      <c r="C258" s="33">
        <v>1000</v>
      </c>
      <c r="D258" s="34">
        <v>25</v>
      </c>
      <c r="E258" s="6" t="s">
        <v>76</v>
      </c>
      <c r="F258" s="6" t="s">
        <v>59</v>
      </c>
      <c r="G258" s="6"/>
      <c r="H258" s="7" t="s">
        <v>142</v>
      </c>
      <c r="I258" s="7" t="str">
        <f t="shared" si="41"/>
        <v>HITANO</v>
      </c>
      <c r="J258" s="7" t="str">
        <f t="shared" si="44"/>
        <v>1000µF</v>
      </c>
      <c r="K258" s="7" t="str">
        <f t="shared" si="45"/>
        <v>25v</v>
      </c>
      <c r="L258" s="7" t="str">
        <f t="shared" si="46"/>
        <v>EXR</v>
      </c>
      <c r="M258" s="31">
        <f t="shared" si="35"/>
        <v>13</v>
      </c>
      <c r="N258" s="31">
        <f t="shared" si="36"/>
        <v>21</v>
      </c>
      <c r="O258" s="8" t="str">
        <f t="shared" si="37"/>
        <v>Hitano-EXR</v>
      </c>
      <c r="P258" s="12" t="str">
        <f t="shared" ref="P258:P321" si="47">$A258&amp;" "&amp;LEFT($F258,1)&amp;"-"&amp;TEXT(ROUND($M258,0),"00.0")&amp;"x"&amp;TEXT(ROUND($N258,0),"00.0")</f>
        <v>Hitano R-13.0x21.0</v>
      </c>
      <c r="Q258" s="12" t="str">
        <f t="shared" si="38"/>
        <v>1000µF</v>
      </c>
      <c r="R258" s="12" t="str">
        <f t="shared" si="39"/>
        <v>25v</v>
      </c>
      <c r="S258" s="8" t="str">
        <f t="shared" ref="S258:S321" si="48">$Q258&amp;" "&amp;$R258&amp;" - "&amp;LEFT($F258,1)&amp;TEXT($M258,"00.0")&amp;"-"&amp;TEXT($N258,"00.0")&amp;" "&amp;A258&amp;" ("&amp;B258&amp;")"&amp;IF(ISBLANK($G258),""," "&amp;$G258)</f>
        <v>1000µF 25v - R13.0-21.0 Hitano (EXR)</v>
      </c>
      <c r="T258" s="8">
        <f t="shared" si="40"/>
        <v>1</v>
      </c>
      <c r="U258" s="8" t="b">
        <f>NOT(ISNA(MATCH($P258,Packages!$A:$A,0)))</f>
        <v>1</v>
      </c>
    </row>
    <row r="259" spans="1:21">
      <c r="A259" s="6" t="s">
        <v>49</v>
      </c>
      <c r="B259" s="6" t="s">
        <v>52</v>
      </c>
      <c r="C259" s="33">
        <v>1500</v>
      </c>
      <c r="D259" s="34">
        <v>25</v>
      </c>
      <c r="E259" s="6" t="s">
        <v>77</v>
      </c>
      <c r="F259" s="6" t="s">
        <v>59</v>
      </c>
      <c r="G259" s="6"/>
      <c r="H259" s="7" t="s">
        <v>142</v>
      </c>
      <c r="I259" s="7" t="str">
        <f t="shared" si="41"/>
        <v>HITANO</v>
      </c>
      <c r="J259" s="7" t="str">
        <f t="shared" si="44"/>
        <v>1500µF</v>
      </c>
      <c r="K259" s="7" t="str">
        <f t="shared" si="45"/>
        <v>25v</v>
      </c>
      <c r="L259" s="7" t="str">
        <f t="shared" si="46"/>
        <v>EXR</v>
      </c>
      <c r="M259" s="31">
        <f t="shared" ref="M259:M322" si="49">VALUE(LEFT($E259,SEARCH("x",$E259)-1))</f>
        <v>13</v>
      </c>
      <c r="N259" s="31">
        <f t="shared" ref="N259:N322" si="50">VALUE(RIGHT($E259,LEN($E259)-SEARCH("x",$E259)))</f>
        <v>26</v>
      </c>
      <c r="O259" s="8" t="str">
        <f t="shared" ref="O259:O322" si="51">$A259&amp;"-"&amp;$B259</f>
        <v>Hitano-EXR</v>
      </c>
      <c r="P259" s="12" t="str">
        <f t="shared" si="47"/>
        <v>Hitano R-13.0x26.0</v>
      </c>
      <c r="Q259" s="12" t="str">
        <f t="shared" ref="Q259:Q322" si="52">TEXT($C259,"General"&amp;CHAR(34)&amp;"µF"&amp;CHAR(34))</f>
        <v>1500µF</v>
      </c>
      <c r="R259" s="12" t="str">
        <f t="shared" ref="R259:R322" si="53">TEXT($D259,"General"&amp;CHAR(34)&amp;"v"&amp;CHAR(34))</f>
        <v>25v</v>
      </c>
      <c r="S259" s="8" t="str">
        <f t="shared" si="48"/>
        <v>1500µF 25v - R13.0-26.0 Hitano (EXR)</v>
      </c>
      <c r="T259" s="8">
        <f t="shared" ref="T259:T322" si="54">COUNTIF($S:$S,$S259)</f>
        <v>1</v>
      </c>
      <c r="U259" s="8" t="b">
        <f>NOT(ISNA(MATCH($P259,Packages!$A:$A,0)))</f>
        <v>1</v>
      </c>
    </row>
    <row r="260" spans="1:21">
      <c r="A260" s="6" t="s">
        <v>49</v>
      </c>
      <c r="B260" s="6" t="s">
        <v>52</v>
      </c>
      <c r="C260" s="33">
        <v>2200</v>
      </c>
      <c r="D260" s="34">
        <v>25</v>
      </c>
      <c r="E260" s="6" t="s">
        <v>78</v>
      </c>
      <c r="F260" s="6" t="s">
        <v>59</v>
      </c>
      <c r="G260" s="6"/>
      <c r="H260" s="7" t="s">
        <v>142</v>
      </c>
      <c r="I260" s="7" t="str">
        <f t="shared" ref="I260:I285" si="55">UPPER($A260)</f>
        <v>HITANO</v>
      </c>
      <c r="J260" s="7" t="str">
        <f t="shared" si="44"/>
        <v>2200µF</v>
      </c>
      <c r="K260" s="7" t="str">
        <f t="shared" si="45"/>
        <v>25v</v>
      </c>
      <c r="L260" s="7" t="str">
        <f t="shared" si="46"/>
        <v>EXR</v>
      </c>
      <c r="M260" s="31">
        <f t="shared" si="49"/>
        <v>16</v>
      </c>
      <c r="N260" s="31">
        <f t="shared" si="50"/>
        <v>26</v>
      </c>
      <c r="O260" s="8" t="str">
        <f t="shared" si="51"/>
        <v>Hitano-EXR</v>
      </c>
      <c r="P260" s="12" t="str">
        <f t="shared" si="47"/>
        <v>Hitano R-16.0x26.0</v>
      </c>
      <c r="Q260" s="12" t="str">
        <f t="shared" si="52"/>
        <v>2200µF</v>
      </c>
      <c r="R260" s="12" t="str">
        <f t="shared" si="53"/>
        <v>25v</v>
      </c>
      <c r="S260" s="8" t="str">
        <f t="shared" si="48"/>
        <v>2200µF 25v - R16.0-26.0 Hitano (EXR)</v>
      </c>
      <c r="T260" s="8">
        <f t="shared" si="54"/>
        <v>1</v>
      </c>
      <c r="U260" s="8" t="b">
        <f>NOT(ISNA(MATCH($P260,Packages!$A:$A,0)))</f>
        <v>1</v>
      </c>
    </row>
    <row r="261" spans="1:21">
      <c r="A261" s="6" t="s">
        <v>49</v>
      </c>
      <c r="B261" s="6" t="s">
        <v>52</v>
      </c>
      <c r="C261" s="33">
        <v>3300</v>
      </c>
      <c r="D261" s="34">
        <v>25</v>
      </c>
      <c r="E261" s="6" t="s">
        <v>98</v>
      </c>
      <c r="F261" s="6" t="s">
        <v>59</v>
      </c>
      <c r="G261" s="6"/>
      <c r="H261" s="7" t="s">
        <v>142</v>
      </c>
      <c r="I261" s="7" t="str">
        <f t="shared" si="55"/>
        <v>HITANO</v>
      </c>
      <c r="J261" s="7" t="str">
        <f t="shared" si="44"/>
        <v>3300µF</v>
      </c>
      <c r="K261" s="7" t="str">
        <f t="shared" si="45"/>
        <v>25v</v>
      </c>
      <c r="L261" s="7" t="str">
        <f t="shared" si="46"/>
        <v>EXR</v>
      </c>
      <c r="M261" s="31">
        <f t="shared" si="49"/>
        <v>16</v>
      </c>
      <c r="N261" s="31">
        <f t="shared" si="50"/>
        <v>31.5</v>
      </c>
      <c r="O261" s="8" t="str">
        <f t="shared" si="51"/>
        <v>Hitano-EXR</v>
      </c>
      <c r="P261" s="12" t="str">
        <f t="shared" si="47"/>
        <v>Hitano R-16.0x32.0</v>
      </c>
      <c r="Q261" s="12" t="str">
        <f t="shared" si="52"/>
        <v>3300µF</v>
      </c>
      <c r="R261" s="12" t="str">
        <f t="shared" si="53"/>
        <v>25v</v>
      </c>
      <c r="S261" s="8" t="str">
        <f t="shared" si="48"/>
        <v>3300µF 25v - R16.0-31.5 Hitano (EXR)</v>
      </c>
      <c r="T261" s="8">
        <f t="shared" si="54"/>
        <v>1</v>
      </c>
      <c r="U261" s="8" t="b">
        <f>NOT(ISNA(MATCH($P261,Packages!$A:$A,0)))</f>
        <v>1</v>
      </c>
    </row>
    <row r="262" spans="1:21">
      <c r="A262" s="6" t="s">
        <v>49</v>
      </c>
      <c r="B262" s="6" t="s">
        <v>52</v>
      </c>
      <c r="C262" s="33">
        <v>4700</v>
      </c>
      <c r="D262" s="34">
        <v>25</v>
      </c>
      <c r="E262" s="6" t="s">
        <v>80</v>
      </c>
      <c r="F262" s="6" t="s">
        <v>59</v>
      </c>
      <c r="G262" s="6"/>
      <c r="H262" s="7" t="s">
        <v>142</v>
      </c>
      <c r="I262" s="7" t="str">
        <f t="shared" si="55"/>
        <v>HITANO</v>
      </c>
      <c r="J262" s="7" t="str">
        <f t="shared" si="44"/>
        <v>4700µF</v>
      </c>
      <c r="K262" s="7" t="str">
        <f t="shared" si="45"/>
        <v>25v</v>
      </c>
      <c r="L262" s="7" t="str">
        <f t="shared" si="46"/>
        <v>EXR</v>
      </c>
      <c r="M262" s="31">
        <f t="shared" si="49"/>
        <v>18</v>
      </c>
      <c r="N262" s="31">
        <f t="shared" si="50"/>
        <v>36</v>
      </c>
      <c r="O262" s="8" t="str">
        <f t="shared" si="51"/>
        <v>Hitano-EXR</v>
      </c>
      <c r="P262" s="12" t="str">
        <f t="shared" si="47"/>
        <v>Hitano R-18.0x36.0</v>
      </c>
      <c r="Q262" s="12" t="str">
        <f t="shared" si="52"/>
        <v>4700µF</v>
      </c>
      <c r="R262" s="12" t="str">
        <f t="shared" si="53"/>
        <v>25v</v>
      </c>
      <c r="S262" s="8" t="str">
        <f t="shared" si="48"/>
        <v>4700µF 25v - R18.0-36.0 Hitano (EXR)</v>
      </c>
      <c r="T262" s="8">
        <f t="shared" si="54"/>
        <v>1</v>
      </c>
      <c r="U262" s="8" t="b">
        <f>NOT(ISNA(MATCH($P262,Packages!$A:$A,0)))</f>
        <v>1</v>
      </c>
    </row>
    <row r="263" spans="1:21">
      <c r="A263" s="6" t="s">
        <v>49</v>
      </c>
      <c r="B263" s="6" t="s">
        <v>52</v>
      </c>
      <c r="C263" s="33">
        <v>6800</v>
      </c>
      <c r="D263" s="34">
        <v>25</v>
      </c>
      <c r="E263" s="6" t="s">
        <v>87</v>
      </c>
      <c r="F263" s="6" t="s">
        <v>59</v>
      </c>
      <c r="G263" s="6"/>
      <c r="H263" s="7" t="s">
        <v>142</v>
      </c>
      <c r="I263" s="7" t="str">
        <f t="shared" si="55"/>
        <v>HITANO</v>
      </c>
      <c r="J263" s="7" t="str">
        <f t="shared" si="44"/>
        <v>6800µF</v>
      </c>
      <c r="K263" s="7" t="str">
        <f t="shared" si="45"/>
        <v>25v</v>
      </c>
      <c r="L263" s="7" t="str">
        <f t="shared" si="46"/>
        <v>EXR</v>
      </c>
      <c r="M263" s="31">
        <f t="shared" si="49"/>
        <v>18</v>
      </c>
      <c r="N263" s="31">
        <f t="shared" si="50"/>
        <v>41</v>
      </c>
      <c r="O263" s="8" t="str">
        <f t="shared" si="51"/>
        <v>Hitano-EXR</v>
      </c>
      <c r="P263" s="12" t="str">
        <f t="shared" si="47"/>
        <v>Hitano R-18.0x41.0</v>
      </c>
      <c r="Q263" s="12" t="str">
        <f t="shared" si="52"/>
        <v>6800µF</v>
      </c>
      <c r="R263" s="12" t="str">
        <f t="shared" si="53"/>
        <v>25v</v>
      </c>
      <c r="S263" s="8" t="str">
        <f t="shared" si="48"/>
        <v>6800µF 25v - R18.0-41.0 Hitano (EXR)</v>
      </c>
      <c r="T263" s="8">
        <f t="shared" si="54"/>
        <v>1</v>
      </c>
      <c r="U263" s="8" t="b">
        <f>NOT(ISNA(MATCH($P263,Packages!$A:$A,0)))</f>
        <v>1</v>
      </c>
    </row>
    <row r="264" spans="1:21">
      <c r="A264" s="6" t="s">
        <v>49</v>
      </c>
      <c r="B264" s="6" t="s">
        <v>52</v>
      </c>
      <c r="C264" s="33">
        <v>10</v>
      </c>
      <c r="D264" s="34">
        <v>35</v>
      </c>
      <c r="E264" s="6" t="s">
        <v>68</v>
      </c>
      <c r="F264" s="6" t="s">
        <v>59</v>
      </c>
      <c r="G264" s="6"/>
      <c r="H264" s="7" t="s">
        <v>142</v>
      </c>
      <c r="I264" s="7" t="str">
        <f t="shared" si="55"/>
        <v>HITANO</v>
      </c>
      <c r="J264" s="7" t="str">
        <f t="shared" ref="J264:J327" si="56">Q264</f>
        <v>10µF</v>
      </c>
      <c r="K264" s="7" t="str">
        <f t="shared" ref="K264:K327" si="57">R264</f>
        <v>35v</v>
      </c>
      <c r="L264" s="7" t="str">
        <f t="shared" ref="L264:L327" si="58">B264</f>
        <v>EXR</v>
      </c>
      <c r="M264" s="31">
        <f t="shared" si="49"/>
        <v>5</v>
      </c>
      <c r="N264" s="31">
        <f t="shared" si="50"/>
        <v>11</v>
      </c>
      <c r="O264" s="8" t="str">
        <f t="shared" si="51"/>
        <v>Hitano-EXR</v>
      </c>
      <c r="P264" s="12" t="str">
        <f t="shared" si="47"/>
        <v>Hitano R-05.0x11.0</v>
      </c>
      <c r="Q264" s="12" t="str">
        <f t="shared" si="52"/>
        <v>10µF</v>
      </c>
      <c r="R264" s="12" t="str">
        <f t="shared" si="53"/>
        <v>35v</v>
      </c>
      <c r="S264" s="8" t="str">
        <f t="shared" si="48"/>
        <v>10µF 35v - R05.0-11.0 Hitano (EXR)</v>
      </c>
      <c r="T264" s="8">
        <f t="shared" si="54"/>
        <v>1</v>
      </c>
      <c r="U264" s="8" t="b">
        <f>NOT(ISNA(MATCH($P264,Packages!$A:$A,0)))</f>
        <v>1</v>
      </c>
    </row>
    <row r="265" spans="1:21">
      <c r="A265" s="6" t="s">
        <v>49</v>
      </c>
      <c r="B265" s="6" t="s">
        <v>52</v>
      </c>
      <c r="C265" s="33">
        <v>22</v>
      </c>
      <c r="D265" s="34">
        <v>35</v>
      </c>
      <c r="E265" s="6" t="s">
        <v>68</v>
      </c>
      <c r="F265" s="6" t="s">
        <v>59</v>
      </c>
      <c r="G265" s="6"/>
      <c r="H265" s="7" t="s">
        <v>142</v>
      </c>
      <c r="I265" s="7" t="str">
        <f t="shared" si="55"/>
        <v>HITANO</v>
      </c>
      <c r="J265" s="7" t="str">
        <f t="shared" si="56"/>
        <v>22µF</v>
      </c>
      <c r="K265" s="7" t="str">
        <f t="shared" si="57"/>
        <v>35v</v>
      </c>
      <c r="L265" s="7" t="str">
        <f t="shared" si="58"/>
        <v>EXR</v>
      </c>
      <c r="M265" s="31">
        <f t="shared" si="49"/>
        <v>5</v>
      </c>
      <c r="N265" s="31">
        <f t="shared" si="50"/>
        <v>11</v>
      </c>
      <c r="O265" s="8" t="str">
        <f t="shared" si="51"/>
        <v>Hitano-EXR</v>
      </c>
      <c r="P265" s="12" t="str">
        <f t="shared" si="47"/>
        <v>Hitano R-05.0x11.0</v>
      </c>
      <c r="Q265" s="12" t="str">
        <f t="shared" si="52"/>
        <v>22µF</v>
      </c>
      <c r="R265" s="12" t="str">
        <f t="shared" si="53"/>
        <v>35v</v>
      </c>
      <c r="S265" s="8" t="str">
        <f t="shared" si="48"/>
        <v>22µF 35v - R05.0-11.0 Hitano (EXR)</v>
      </c>
      <c r="T265" s="8">
        <f t="shared" si="54"/>
        <v>1</v>
      </c>
      <c r="U265" s="8" t="b">
        <f>NOT(ISNA(MATCH($P265,Packages!$A:$A,0)))</f>
        <v>1</v>
      </c>
    </row>
    <row r="266" spans="1:21">
      <c r="A266" s="6" t="s">
        <v>49</v>
      </c>
      <c r="B266" s="6" t="s">
        <v>52</v>
      </c>
      <c r="C266" s="33">
        <v>33</v>
      </c>
      <c r="D266" s="34">
        <v>35</v>
      </c>
      <c r="E266" s="6" t="s">
        <v>68</v>
      </c>
      <c r="F266" s="6" t="s">
        <v>59</v>
      </c>
      <c r="G266" s="6"/>
      <c r="H266" s="7" t="s">
        <v>142</v>
      </c>
      <c r="I266" s="7" t="str">
        <f t="shared" si="55"/>
        <v>HITANO</v>
      </c>
      <c r="J266" s="7" t="str">
        <f t="shared" si="56"/>
        <v>33µF</v>
      </c>
      <c r="K266" s="7" t="str">
        <f t="shared" si="57"/>
        <v>35v</v>
      </c>
      <c r="L266" s="7" t="str">
        <f t="shared" si="58"/>
        <v>EXR</v>
      </c>
      <c r="M266" s="31">
        <f t="shared" si="49"/>
        <v>5</v>
      </c>
      <c r="N266" s="31">
        <f t="shared" si="50"/>
        <v>11</v>
      </c>
      <c r="O266" s="8" t="str">
        <f t="shared" si="51"/>
        <v>Hitano-EXR</v>
      </c>
      <c r="P266" s="12" t="str">
        <f t="shared" si="47"/>
        <v>Hitano R-05.0x11.0</v>
      </c>
      <c r="Q266" s="12" t="str">
        <f t="shared" si="52"/>
        <v>33µF</v>
      </c>
      <c r="R266" s="12" t="str">
        <f t="shared" si="53"/>
        <v>35v</v>
      </c>
      <c r="S266" s="8" t="str">
        <f t="shared" si="48"/>
        <v>33µF 35v - R05.0-11.0 Hitano (EXR)</v>
      </c>
      <c r="T266" s="8">
        <f t="shared" si="54"/>
        <v>1</v>
      </c>
      <c r="U266" s="8" t="b">
        <f>NOT(ISNA(MATCH($P266,Packages!$A:$A,0)))</f>
        <v>1</v>
      </c>
    </row>
    <row r="267" spans="1:21">
      <c r="A267" s="6" t="s">
        <v>49</v>
      </c>
      <c r="B267" s="6" t="s">
        <v>52</v>
      </c>
      <c r="C267" s="33">
        <v>47</v>
      </c>
      <c r="D267" s="34">
        <v>35</v>
      </c>
      <c r="E267" s="6" t="s">
        <v>69</v>
      </c>
      <c r="F267" s="6" t="s">
        <v>59</v>
      </c>
      <c r="G267" s="6"/>
      <c r="H267" s="7" t="s">
        <v>142</v>
      </c>
      <c r="I267" s="7" t="str">
        <f t="shared" si="55"/>
        <v>HITANO</v>
      </c>
      <c r="J267" s="7" t="str">
        <f t="shared" si="56"/>
        <v>47µF</v>
      </c>
      <c r="K267" s="7" t="str">
        <f t="shared" si="57"/>
        <v>35v</v>
      </c>
      <c r="L267" s="7" t="str">
        <f t="shared" si="58"/>
        <v>EXR</v>
      </c>
      <c r="M267" s="31">
        <f t="shared" si="49"/>
        <v>6.3</v>
      </c>
      <c r="N267" s="31">
        <f t="shared" si="50"/>
        <v>11</v>
      </c>
      <c r="O267" s="8" t="str">
        <f t="shared" si="51"/>
        <v>Hitano-EXR</v>
      </c>
      <c r="P267" s="12" t="str">
        <f t="shared" si="47"/>
        <v>Hitano R-06.0x11.0</v>
      </c>
      <c r="Q267" s="12" t="str">
        <f t="shared" si="52"/>
        <v>47µF</v>
      </c>
      <c r="R267" s="12" t="str">
        <f t="shared" si="53"/>
        <v>35v</v>
      </c>
      <c r="S267" s="8" t="str">
        <f t="shared" si="48"/>
        <v>47µF 35v - R06.3-11.0 Hitano (EXR)</v>
      </c>
      <c r="T267" s="8">
        <f t="shared" si="54"/>
        <v>1</v>
      </c>
      <c r="U267" s="8" t="b">
        <f>NOT(ISNA(MATCH($P267,Packages!$A:$A,0)))</f>
        <v>1</v>
      </c>
    </row>
    <row r="268" spans="1:21">
      <c r="A268" s="6" t="s">
        <v>49</v>
      </c>
      <c r="B268" s="6" t="s">
        <v>52</v>
      </c>
      <c r="C268" s="33">
        <v>68</v>
      </c>
      <c r="D268" s="34">
        <v>35</v>
      </c>
      <c r="E268" s="6" t="s">
        <v>69</v>
      </c>
      <c r="F268" s="6" t="s">
        <v>59</v>
      </c>
      <c r="G268" s="6"/>
      <c r="H268" s="7" t="s">
        <v>142</v>
      </c>
      <c r="I268" s="7" t="str">
        <f t="shared" si="55"/>
        <v>HITANO</v>
      </c>
      <c r="J268" s="7" t="str">
        <f t="shared" si="56"/>
        <v>68µF</v>
      </c>
      <c r="K268" s="7" t="str">
        <f t="shared" si="57"/>
        <v>35v</v>
      </c>
      <c r="L268" s="7" t="str">
        <f t="shared" si="58"/>
        <v>EXR</v>
      </c>
      <c r="M268" s="31">
        <f t="shared" si="49"/>
        <v>6.3</v>
      </c>
      <c r="N268" s="31">
        <f t="shared" si="50"/>
        <v>11</v>
      </c>
      <c r="O268" s="8" t="str">
        <f t="shared" si="51"/>
        <v>Hitano-EXR</v>
      </c>
      <c r="P268" s="12" t="str">
        <f t="shared" si="47"/>
        <v>Hitano R-06.0x11.0</v>
      </c>
      <c r="Q268" s="12" t="str">
        <f t="shared" si="52"/>
        <v>68µF</v>
      </c>
      <c r="R268" s="12" t="str">
        <f t="shared" si="53"/>
        <v>35v</v>
      </c>
      <c r="S268" s="8" t="str">
        <f t="shared" si="48"/>
        <v>68µF 35v - R06.3-11.0 Hitano (EXR)</v>
      </c>
      <c r="T268" s="8">
        <f t="shared" si="54"/>
        <v>1</v>
      </c>
      <c r="U268" s="8" t="b">
        <f>NOT(ISNA(MATCH($P268,Packages!$A:$A,0)))</f>
        <v>1</v>
      </c>
    </row>
    <row r="269" spans="1:21">
      <c r="A269" s="6" t="s">
        <v>49</v>
      </c>
      <c r="B269" s="6" t="s">
        <v>52</v>
      </c>
      <c r="C269" s="33">
        <v>100</v>
      </c>
      <c r="D269" s="34">
        <v>35</v>
      </c>
      <c r="E269" s="6" t="s">
        <v>71</v>
      </c>
      <c r="F269" s="6" t="s">
        <v>59</v>
      </c>
      <c r="G269" s="6"/>
      <c r="H269" s="7" t="s">
        <v>142</v>
      </c>
      <c r="I269" s="7" t="str">
        <f t="shared" si="55"/>
        <v>HITANO</v>
      </c>
      <c r="J269" s="7" t="str">
        <f t="shared" si="56"/>
        <v>100µF</v>
      </c>
      <c r="K269" s="7" t="str">
        <f t="shared" si="57"/>
        <v>35v</v>
      </c>
      <c r="L269" s="7" t="str">
        <f t="shared" si="58"/>
        <v>EXR</v>
      </c>
      <c r="M269" s="31">
        <f t="shared" si="49"/>
        <v>8</v>
      </c>
      <c r="N269" s="31">
        <f t="shared" si="50"/>
        <v>12</v>
      </c>
      <c r="O269" s="8" t="str">
        <f t="shared" si="51"/>
        <v>Hitano-EXR</v>
      </c>
      <c r="P269" s="12" t="str">
        <f t="shared" si="47"/>
        <v>Hitano R-08.0x12.0</v>
      </c>
      <c r="Q269" s="12" t="str">
        <f t="shared" si="52"/>
        <v>100µF</v>
      </c>
      <c r="R269" s="12" t="str">
        <f t="shared" si="53"/>
        <v>35v</v>
      </c>
      <c r="S269" s="8" t="str">
        <f t="shared" si="48"/>
        <v>100µF 35v - R08.0-12.0 Hitano (EXR)</v>
      </c>
      <c r="T269" s="8">
        <f t="shared" si="54"/>
        <v>1</v>
      </c>
      <c r="U269" s="8" t="b">
        <f>NOT(ISNA(MATCH($P269,Packages!$A:$A,0)))</f>
        <v>1</v>
      </c>
    </row>
    <row r="270" spans="1:21">
      <c r="A270" s="6" t="s">
        <v>49</v>
      </c>
      <c r="B270" s="6" t="s">
        <v>52</v>
      </c>
      <c r="C270" s="33">
        <v>150</v>
      </c>
      <c r="D270" s="34">
        <v>35</v>
      </c>
      <c r="E270" s="6" t="s">
        <v>71</v>
      </c>
      <c r="F270" s="6" t="s">
        <v>59</v>
      </c>
      <c r="G270" s="6"/>
      <c r="H270" s="7" t="s">
        <v>142</v>
      </c>
      <c r="I270" s="7" t="str">
        <f t="shared" si="55"/>
        <v>HITANO</v>
      </c>
      <c r="J270" s="7" t="str">
        <f t="shared" si="56"/>
        <v>150µF</v>
      </c>
      <c r="K270" s="7" t="str">
        <f t="shared" si="57"/>
        <v>35v</v>
      </c>
      <c r="L270" s="7" t="str">
        <f t="shared" si="58"/>
        <v>EXR</v>
      </c>
      <c r="M270" s="31">
        <f t="shared" si="49"/>
        <v>8</v>
      </c>
      <c r="N270" s="31">
        <f t="shared" si="50"/>
        <v>12</v>
      </c>
      <c r="O270" s="8" t="str">
        <f t="shared" si="51"/>
        <v>Hitano-EXR</v>
      </c>
      <c r="P270" s="12" t="str">
        <f t="shared" si="47"/>
        <v>Hitano R-08.0x12.0</v>
      </c>
      <c r="Q270" s="12" t="str">
        <f t="shared" si="52"/>
        <v>150µF</v>
      </c>
      <c r="R270" s="12" t="str">
        <f t="shared" si="53"/>
        <v>35v</v>
      </c>
      <c r="S270" s="8" t="str">
        <f t="shared" si="48"/>
        <v>150µF 35v - R08.0-12.0 Hitano (EXR)</v>
      </c>
      <c r="T270" s="8">
        <f t="shared" si="54"/>
        <v>1</v>
      </c>
      <c r="U270" s="8" t="b">
        <f>NOT(ISNA(MATCH($P270,Packages!$A:$A,0)))</f>
        <v>1</v>
      </c>
    </row>
    <row r="271" spans="1:21">
      <c r="A271" s="6" t="s">
        <v>49</v>
      </c>
      <c r="B271" s="6" t="s">
        <v>52</v>
      </c>
      <c r="C271" s="33">
        <v>220</v>
      </c>
      <c r="D271" s="34">
        <v>35</v>
      </c>
      <c r="E271" s="6" t="s">
        <v>74</v>
      </c>
      <c r="F271" s="6" t="s">
        <v>59</v>
      </c>
      <c r="G271" s="6"/>
      <c r="H271" s="7" t="s">
        <v>142</v>
      </c>
      <c r="I271" s="7" t="str">
        <f t="shared" si="55"/>
        <v>HITANO</v>
      </c>
      <c r="J271" s="7" t="str">
        <f t="shared" si="56"/>
        <v>220µF</v>
      </c>
      <c r="K271" s="7" t="str">
        <f t="shared" si="57"/>
        <v>35v</v>
      </c>
      <c r="L271" s="7" t="str">
        <f t="shared" si="58"/>
        <v>EXR</v>
      </c>
      <c r="M271" s="31">
        <f t="shared" si="49"/>
        <v>10</v>
      </c>
      <c r="N271" s="31">
        <f t="shared" si="50"/>
        <v>16</v>
      </c>
      <c r="O271" s="8" t="str">
        <f t="shared" si="51"/>
        <v>Hitano-EXR</v>
      </c>
      <c r="P271" s="12" t="str">
        <f t="shared" si="47"/>
        <v>Hitano R-10.0x16.0</v>
      </c>
      <c r="Q271" s="12" t="str">
        <f t="shared" si="52"/>
        <v>220µF</v>
      </c>
      <c r="R271" s="12" t="str">
        <f t="shared" si="53"/>
        <v>35v</v>
      </c>
      <c r="S271" s="8" t="str">
        <f t="shared" si="48"/>
        <v>220µF 35v - R10.0-16.0 Hitano (EXR)</v>
      </c>
      <c r="T271" s="8">
        <f t="shared" si="54"/>
        <v>1</v>
      </c>
      <c r="U271" s="8" t="b">
        <f>NOT(ISNA(MATCH($P271,Packages!$A:$A,0)))</f>
        <v>1</v>
      </c>
    </row>
    <row r="272" spans="1:21">
      <c r="A272" s="6" t="s">
        <v>49</v>
      </c>
      <c r="B272" s="6" t="s">
        <v>52</v>
      </c>
      <c r="C272" s="33">
        <v>330</v>
      </c>
      <c r="D272" s="34">
        <v>35</v>
      </c>
      <c r="E272" s="6" t="s">
        <v>74</v>
      </c>
      <c r="F272" s="6" t="s">
        <v>59</v>
      </c>
      <c r="G272" s="6"/>
      <c r="H272" s="7" t="s">
        <v>142</v>
      </c>
      <c r="I272" s="7" t="str">
        <f t="shared" si="55"/>
        <v>HITANO</v>
      </c>
      <c r="J272" s="7" t="str">
        <f t="shared" si="56"/>
        <v>330µF</v>
      </c>
      <c r="K272" s="7" t="str">
        <f t="shared" si="57"/>
        <v>35v</v>
      </c>
      <c r="L272" s="7" t="str">
        <f t="shared" si="58"/>
        <v>EXR</v>
      </c>
      <c r="M272" s="31">
        <f t="shared" si="49"/>
        <v>10</v>
      </c>
      <c r="N272" s="31">
        <f t="shared" si="50"/>
        <v>16</v>
      </c>
      <c r="O272" s="8" t="str">
        <f t="shared" si="51"/>
        <v>Hitano-EXR</v>
      </c>
      <c r="P272" s="12" t="str">
        <f t="shared" si="47"/>
        <v>Hitano R-10.0x16.0</v>
      </c>
      <c r="Q272" s="12" t="str">
        <f t="shared" si="52"/>
        <v>330µF</v>
      </c>
      <c r="R272" s="12" t="str">
        <f t="shared" si="53"/>
        <v>35v</v>
      </c>
      <c r="S272" s="8" t="str">
        <f t="shared" si="48"/>
        <v>330µF 35v - R10.0-16.0 Hitano (EXR)</v>
      </c>
      <c r="T272" s="8">
        <f t="shared" si="54"/>
        <v>1</v>
      </c>
      <c r="U272" s="8" t="b">
        <f>NOT(ISNA(MATCH($P272,Packages!$A:$A,0)))</f>
        <v>1</v>
      </c>
    </row>
    <row r="273" spans="1:21">
      <c r="A273" s="6" t="s">
        <v>49</v>
      </c>
      <c r="B273" s="6" t="s">
        <v>52</v>
      </c>
      <c r="C273" s="33">
        <v>470</v>
      </c>
      <c r="D273" s="34">
        <v>35</v>
      </c>
      <c r="E273" s="6" t="s">
        <v>75</v>
      </c>
      <c r="F273" s="6" t="s">
        <v>59</v>
      </c>
      <c r="G273" s="6"/>
      <c r="H273" s="7" t="s">
        <v>142</v>
      </c>
      <c r="I273" s="7" t="str">
        <f t="shared" si="55"/>
        <v>HITANO</v>
      </c>
      <c r="J273" s="7" t="str">
        <f t="shared" si="56"/>
        <v>470µF</v>
      </c>
      <c r="K273" s="7" t="str">
        <f t="shared" si="57"/>
        <v>35v</v>
      </c>
      <c r="L273" s="7" t="str">
        <f t="shared" si="58"/>
        <v>EXR</v>
      </c>
      <c r="M273" s="31">
        <f t="shared" si="49"/>
        <v>10</v>
      </c>
      <c r="N273" s="31">
        <f t="shared" si="50"/>
        <v>21</v>
      </c>
      <c r="O273" s="8" t="str">
        <f t="shared" si="51"/>
        <v>Hitano-EXR</v>
      </c>
      <c r="P273" s="12" t="str">
        <f t="shared" si="47"/>
        <v>Hitano R-10.0x21.0</v>
      </c>
      <c r="Q273" s="12" t="str">
        <f t="shared" si="52"/>
        <v>470µF</v>
      </c>
      <c r="R273" s="12" t="str">
        <f t="shared" si="53"/>
        <v>35v</v>
      </c>
      <c r="S273" s="8" t="str">
        <f t="shared" si="48"/>
        <v>470µF 35v - R10.0-21.0 Hitano (EXR)</v>
      </c>
      <c r="T273" s="8">
        <f t="shared" si="54"/>
        <v>1</v>
      </c>
      <c r="U273" s="8" t="b">
        <f>NOT(ISNA(MATCH($P273,Packages!$A:$A,0)))</f>
        <v>1</v>
      </c>
    </row>
    <row r="274" spans="1:21">
      <c r="A274" s="6" t="s">
        <v>49</v>
      </c>
      <c r="B274" s="6" t="s">
        <v>52</v>
      </c>
      <c r="C274" s="33">
        <v>680</v>
      </c>
      <c r="D274" s="34">
        <v>35</v>
      </c>
      <c r="E274" s="6" t="s">
        <v>76</v>
      </c>
      <c r="F274" s="6" t="s">
        <v>59</v>
      </c>
      <c r="G274" s="6"/>
      <c r="H274" s="7" t="s">
        <v>142</v>
      </c>
      <c r="I274" s="7" t="str">
        <f t="shared" si="55"/>
        <v>HITANO</v>
      </c>
      <c r="J274" s="7" t="str">
        <f t="shared" si="56"/>
        <v>680µF</v>
      </c>
      <c r="K274" s="7" t="str">
        <f t="shared" si="57"/>
        <v>35v</v>
      </c>
      <c r="L274" s="7" t="str">
        <f t="shared" si="58"/>
        <v>EXR</v>
      </c>
      <c r="M274" s="31">
        <f t="shared" si="49"/>
        <v>13</v>
      </c>
      <c r="N274" s="31">
        <f t="shared" si="50"/>
        <v>21</v>
      </c>
      <c r="O274" s="8" t="str">
        <f t="shared" si="51"/>
        <v>Hitano-EXR</v>
      </c>
      <c r="P274" s="12" t="str">
        <f t="shared" si="47"/>
        <v>Hitano R-13.0x21.0</v>
      </c>
      <c r="Q274" s="12" t="str">
        <f t="shared" si="52"/>
        <v>680µF</v>
      </c>
      <c r="R274" s="12" t="str">
        <f t="shared" si="53"/>
        <v>35v</v>
      </c>
      <c r="S274" s="8" t="str">
        <f t="shared" si="48"/>
        <v>680µF 35v - R13.0-21.0 Hitano (EXR)</v>
      </c>
      <c r="T274" s="8">
        <f t="shared" si="54"/>
        <v>1</v>
      </c>
      <c r="U274" s="8" t="b">
        <f>NOT(ISNA(MATCH($P274,Packages!$A:$A,0)))</f>
        <v>1</v>
      </c>
    </row>
    <row r="275" spans="1:21">
      <c r="A275" s="6" t="s">
        <v>49</v>
      </c>
      <c r="B275" s="6" t="s">
        <v>52</v>
      </c>
      <c r="C275" s="33">
        <v>1000</v>
      </c>
      <c r="D275" s="34">
        <v>35</v>
      </c>
      <c r="E275" s="6" t="s">
        <v>77</v>
      </c>
      <c r="F275" s="6" t="s">
        <v>59</v>
      </c>
      <c r="G275" s="6"/>
      <c r="H275" s="7" t="s">
        <v>142</v>
      </c>
      <c r="I275" s="7" t="str">
        <f t="shared" si="55"/>
        <v>HITANO</v>
      </c>
      <c r="J275" s="7" t="str">
        <f t="shared" si="56"/>
        <v>1000µF</v>
      </c>
      <c r="K275" s="7" t="str">
        <f t="shared" si="57"/>
        <v>35v</v>
      </c>
      <c r="L275" s="7" t="str">
        <f t="shared" si="58"/>
        <v>EXR</v>
      </c>
      <c r="M275" s="31">
        <f t="shared" si="49"/>
        <v>13</v>
      </c>
      <c r="N275" s="31">
        <f t="shared" si="50"/>
        <v>26</v>
      </c>
      <c r="O275" s="8" t="str">
        <f t="shared" si="51"/>
        <v>Hitano-EXR</v>
      </c>
      <c r="P275" s="12" t="str">
        <f t="shared" si="47"/>
        <v>Hitano R-13.0x26.0</v>
      </c>
      <c r="Q275" s="12" t="str">
        <f t="shared" si="52"/>
        <v>1000µF</v>
      </c>
      <c r="R275" s="12" t="str">
        <f t="shared" si="53"/>
        <v>35v</v>
      </c>
      <c r="S275" s="8" t="str">
        <f t="shared" si="48"/>
        <v>1000µF 35v - R13.0-26.0 Hitano (EXR)</v>
      </c>
      <c r="T275" s="8">
        <f t="shared" si="54"/>
        <v>1</v>
      </c>
      <c r="U275" s="8" t="b">
        <f>NOT(ISNA(MATCH($P275,Packages!$A:$A,0)))</f>
        <v>1</v>
      </c>
    </row>
    <row r="276" spans="1:21">
      <c r="A276" s="6" t="s">
        <v>49</v>
      </c>
      <c r="B276" s="6" t="s">
        <v>52</v>
      </c>
      <c r="C276" s="33">
        <v>1500</v>
      </c>
      <c r="D276" s="34">
        <v>35</v>
      </c>
      <c r="E276" s="6" t="s">
        <v>78</v>
      </c>
      <c r="F276" s="6" t="s">
        <v>59</v>
      </c>
      <c r="G276" s="6"/>
      <c r="H276" s="7" t="s">
        <v>142</v>
      </c>
      <c r="I276" s="7" t="str">
        <f t="shared" si="55"/>
        <v>HITANO</v>
      </c>
      <c r="J276" s="7" t="str">
        <f t="shared" si="56"/>
        <v>1500µF</v>
      </c>
      <c r="K276" s="7" t="str">
        <f t="shared" si="57"/>
        <v>35v</v>
      </c>
      <c r="L276" s="7" t="str">
        <f t="shared" si="58"/>
        <v>EXR</v>
      </c>
      <c r="M276" s="31">
        <f t="shared" si="49"/>
        <v>16</v>
      </c>
      <c r="N276" s="31">
        <f t="shared" si="50"/>
        <v>26</v>
      </c>
      <c r="O276" s="8" t="str">
        <f t="shared" si="51"/>
        <v>Hitano-EXR</v>
      </c>
      <c r="P276" s="12" t="str">
        <f t="shared" si="47"/>
        <v>Hitano R-16.0x26.0</v>
      </c>
      <c r="Q276" s="12" t="str">
        <f t="shared" si="52"/>
        <v>1500µF</v>
      </c>
      <c r="R276" s="12" t="str">
        <f t="shared" si="53"/>
        <v>35v</v>
      </c>
      <c r="S276" s="8" t="str">
        <f t="shared" si="48"/>
        <v>1500µF 35v - R16.0-26.0 Hitano (EXR)</v>
      </c>
      <c r="T276" s="8">
        <f t="shared" si="54"/>
        <v>1</v>
      </c>
      <c r="U276" s="8" t="b">
        <f>NOT(ISNA(MATCH($P276,Packages!$A:$A,0)))</f>
        <v>1</v>
      </c>
    </row>
    <row r="277" spans="1:21">
      <c r="A277" s="6" t="s">
        <v>49</v>
      </c>
      <c r="B277" s="6" t="s">
        <v>52</v>
      </c>
      <c r="C277" s="33">
        <v>2200</v>
      </c>
      <c r="D277" s="34">
        <v>35</v>
      </c>
      <c r="E277" s="6" t="s">
        <v>98</v>
      </c>
      <c r="F277" s="6" t="s">
        <v>59</v>
      </c>
      <c r="G277" s="6"/>
      <c r="H277" s="7" t="s">
        <v>142</v>
      </c>
      <c r="I277" s="7" t="str">
        <f t="shared" si="55"/>
        <v>HITANO</v>
      </c>
      <c r="J277" s="7" t="str">
        <f t="shared" si="56"/>
        <v>2200µF</v>
      </c>
      <c r="K277" s="7" t="str">
        <f t="shared" si="57"/>
        <v>35v</v>
      </c>
      <c r="L277" s="7" t="str">
        <f t="shared" si="58"/>
        <v>EXR</v>
      </c>
      <c r="M277" s="31">
        <f t="shared" si="49"/>
        <v>16</v>
      </c>
      <c r="N277" s="31">
        <f t="shared" si="50"/>
        <v>31.5</v>
      </c>
      <c r="O277" s="8" t="str">
        <f t="shared" si="51"/>
        <v>Hitano-EXR</v>
      </c>
      <c r="P277" s="12" t="str">
        <f t="shared" si="47"/>
        <v>Hitano R-16.0x32.0</v>
      </c>
      <c r="Q277" s="12" t="str">
        <f t="shared" si="52"/>
        <v>2200µF</v>
      </c>
      <c r="R277" s="12" t="str">
        <f t="shared" si="53"/>
        <v>35v</v>
      </c>
      <c r="S277" s="8" t="str">
        <f t="shared" si="48"/>
        <v>2200µF 35v - R16.0-31.5 Hitano (EXR)</v>
      </c>
      <c r="T277" s="8">
        <f t="shared" si="54"/>
        <v>1</v>
      </c>
      <c r="U277" s="8" t="b">
        <f>NOT(ISNA(MATCH($P277,Packages!$A:$A,0)))</f>
        <v>1</v>
      </c>
    </row>
    <row r="278" spans="1:21">
      <c r="A278" s="6" t="s">
        <v>49</v>
      </c>
      <c r="B278" s="6" t="s">
        <v>52</v>
      </c>
      <c r="C278" s="33">
        <v>3300</v>
      </c>
      <c r="D278" s="34">
        <v>35</v>
      </c>
      <c r="E278" s="6" t="s">
        <v>79</v>
      </c>
      <c r="F278" s="6" t="s">
        <v>59</v>
      </c>
      <c r="G278" s="6"/>
      <c r="H278" s="7" t="s">
        <v>142</v>
      </c>
      <c r="I278" s="7" t="str">
        <f t="shared" si="55"/>
        <v>HITANO</v>
      </c>
      <c r="J278" s="7" t="str">
        <f t="shared" si="56"/>
        <v>3300µF</v>
      </c>
      <c r="K278" s="7" t="str">
        <f t="shared" si="57"/>
        <v>35v</v>
      </c>
      <c r="L278" s="7" t="str">
        <f t="shared" si="58"/>
        <v>EXR</v>
      </c>
      <c r="M278" s="31">
        <f t="shared" si="49"/>
        <v>16</v>
      </c>
      <c r="N278" s="31">
        <f t="shared" si="50"/>
        <v>36</v>
      </c>
      <c r="O278" s="8" t="str">
        <f t="shared" si="51"/>
        <v>Hitano-EXR</v>
      </c>
      <c r="P278" s="12" t="str">
        <f t="shared" si="47"/>
        <v>Hitano R-16.0x36.0</v>
      </c>
      <c r="Q278" s="12" t="str">
        <f t="shared" si="52"/>
        <v>3300µF</v>
      </c>
      <c r="R278" s="12" t="str">
        <f t="shared" si="53"/>
        <v>35v</v>
      </c>
      <c r="S278" s="8" t="str">
        <f t="shared" si="48"/>
        <v>3300µF 35v - R16.0-36.0 Hitano (EXR)</v>
      </c>
      <c r="T278" s="8">
        <f t="shared" si="54"/>
        <v>1</v>
      </c>
      <c r="U278" s="8" t="b">
        <f>NOT(ISNA(MATCH($P278,Packages!$A:$A,0)))</f>
        <v>1</v>
      </c>
    </row>
    <row r="279" spans="1:21">
      <c r="A279" s="6" t="s">
        <v>49</v>
      </c>
      <c r="B279" s="6" t="s">
        <v>52</v>
      </c>
      <c r="C279" s="33">
        <v>4700</v>
      </c>
      <c r="D279" s="34">
        <v>35</v>
      </c>
      <c r="E279" s="6" t="s">
        <v>87</v>
      </c>
      <c r="F279" s="6" t="s">
        <v>59</v>
      </c>
      <c r="G279" s="6"/>
      <c r="H279" s="7" t="s">
        <v>142</v>
      </c>
      <c r="I279" s="7" t="str">
        <f t="shared" si="55"/>
        <v>HITANO</v>
      </c>
      <c r="J279" s="7" t="str">
        <f t="shared" si="56"/>
        <v>4700µF</v>
      </c>
      <c r="K279" s="7" t="str">
        <f t="shared" si="57"/>
        <v>35v</v>
      </c>
      <c r="L279" s="7" t="str">
        <f t="shared" si="58"/>
        <v>EXR</v>
      </c>
      <c r="M279" s="31">
        <f t="shared" si="49"/>
        <v>18</v>
      </c>
      <c r="N279" s="31">
        <f t="shared" si="50"/>
        <v>41</v>
      </c>
      <c r="O279" s="8" t="str">
        <f t="shared" si="51"/>
        <v>Hitano-EXR</v>
      </c>
      <c r="P279" s="12" t="str">
        <f t="shared" si="47"/>
        <v>Hitano R-18.0x41.0</v>
      </c>
      <c r="Q279" s="12" t="str">
        <f t="shared" si="52"/>
        <v>4700µF</v>
      </c>
      <c r="R279" s="12" t="str">
        <f t="shared" si="53"/>
        <v>35v</v>
      </c>
      <c r="S279" s="8" t="str">
        <f t="shared" si="48"/>
        <v>4700µF 35v - R18.0-41.0 Hitano (EXR)</v>
      </c>
      <c r="T279" s="8">
        <f t="shared" si="54"/>
        <v>1</v>
      </c>
      <c r="U279" s="8" t="b">
        <f>NOT(ISNA(MATCH($P279,Packages!$A:$A,0)))</f>
        <v>1</v>
      </c>
    </row>
    <row r="280" spans="1:21">
      <c r="A280" s="6" t="s">
        <v>49</v>
      </c>
      <c r="B280" s="6" t="s">
        <v>52</v>
      </c>
      <c r="C280" s="33">
        <v>4.7</v>
      </c>
      <c r="D280" s="34">
        <v>50</v>
      </c>
      <c r="E280" s="6" t="s">
        <v>68</v>
      </c>
      <c r="F280" s="6" t="s">
        <v>59</v>
      </c>
      <c r="G280" s="6"/>
      <c r="H280" s="7" t="s">
        <v>142</v>
      </c>
      <c r="I280" s="7" t="str">
        <f t="shared" si="55"/>
        <v>HITANO</v>
      </c>
      <c r="J280" s="7" t="str">
        <f t="shared" si="56"/>
        <v>4.7µF</v>
      </c>
      <c r="K280" s="7" t="str">
        <f t="shared" si="57"/>
        <v>50v</v>
      </c>
      <c r="L280" s="7" t="str">
        <f t="shared" si="58"/>
        <v>EXR</v>
      </c>
      <c r="M280" s="31">
        <f t="shared" si="49"/>
        <v>5</v>
      </c>
      <c r="N280" s="31">
        <f t="shared" si="50"/>
        <v>11</v>
      </c>
      <c r="O280" s="8" t="str">
        <f t="shared" si="51"/>
        <v>Hitano-EXR</v>
      </c>
      <c r="P280" s="12" t="str">
        <f t="shared" si="47"/>
        <v>Hitano R-05.0x11.0</v>
      </c>
      <c r="Q280" s="12" t="str">
        <f t="shared" si="52"/>
        <v>4.7µF</v>
      </c>
      <c r="R280" s="12" t="str">
        <f t="shared" si="53"/>
        <v>50v</v>
      </c>
      <c r="S280" s="8" t="str">
        <f t="shared" si="48"/>
        <v>4.7µF 50v - R05.0-11.0 Hitano (EXR)</v>
      </c>
      <c r="T280" s="8">
        <f t="shared" si="54"/>
        <v>1</v>
      </c>
      <c r="U280" s="8" t="b">
        <f>NOT(ISNA(MATCH($P280,Packages!$A:$A,0)))</f>
        <v>1</v>
      </c>
    </row>
    <row r="281" spans="1:21">
      <c r="A281" s="6" t="s">
        <v>49</v>
      </c>
      <c r="B281" s="6" t="s">
        <v>52</v>
      </c>
      <c r="C281" s="33">
        <v>10</v>
      </c>
      <c r="D281" s="34">
        <v>50</v>
      </c>
      <c r="E281" s="6" t="s">
        <v>68</v>
      </c>
      <c r="F281" s="6" t="s">
        <v>59</v>
      </c>
      <c r="G281" s="6"/>
      <c r="H281" s="7" t="s">
        <v>142</v>
      </c>
      <c r="I281" s="7" t="str">
        <f t="shared" si="55"/>
        <v>HITANO</v>
      </c>
      <c r="J281" s="7" t="str">
        <f t="shared" si="56"/>
        <v>10µF</v>
      </c>
      <c r="K281" s="7" t="str">
        <f t="shared" si="57"/>
        <v>50v</v>
      </c>
      <c r="L281" s="7" t="str">
        <f t="shared" si="58"/>
        <v>EXR</v>
      </c>
      <c r="M281" s="31">
        <f t="shared" si="49"/>
        <v>5</v>
      </c>
      <c r="N281" s="31">
        <f t="shared" si="50"/>
        <v>11</v>
      </c>
      <c r="O281" s="8" t="str">
        <f t="shared" si="51"/>
        <v>Hitano-EXR</v>
      </c>
      <c r="P281" s="12" t="str">
        <f t="shared" si="47"/>
        <v>Hitano R-05.0x11.0</v>
      </c>
      <c r="Q281" s="12" t="str">
        <f t="shared" si="52"/>
        <v>10µF</v>
      </c>
      <c r="R281" s="12" t="str">
        <f t="shared" si="53"/>
        <v>50v</v>
      </c>
      <c r="S281" s="8" t="str">
        <f t="shared" si="48"/>
        <v>10µF 50v - R05.0-11.0 Hitano (EXR)</v>
      </c>
      <c r="T281" s="8">
        <f t="shared" si="54"/>
        <v>1</v>
      </c>
      <c r="U281" s="8" t="b">
        <f>NOT(ISNA(MATCH($P281,Packages!$A:$A,0)))</f>
        <v>1</v>
      </c>
    </row>
    <row r="282" spans="1:21">
      <c r="A282" s="6" t="s">
        <v>49</v>
      </c>
      <c r="B282" s="6" t="s">
        <v>52</v>
      </c>
      <c r="C282" s="33">
        <v>22</v>
      </c>
      <c r="D282" s="34">
        <v>50</v>
      </c>
      <c r="E282" s="6" t="s">
        <v>69</v>
      </c>
      <c r="F282" s="6" t="s">
        <v>59</v>
      </c>
      <c r="G282" s="6"/>
      <c r="H282" s="7" t="s">
        <v>142</v>
      </c>
      <c r="I282" s="7" t="str">
        <f t="shared" si="55"/>
        <v>HITANO</v>
      </c>
      <c r="J282" s="7" t="str">
        <f t="shared" si="56"/>
        <v>22µF</v>
      </c>
      <c r="K282" s="7" t="str">
        <f t="shared" si="57"/>
        <v>50v</v>
      </c>
      <c r="L282" s="7" t="str">
        <f t="shared" si="58"/>
        <v>EXR</v>
      </c>
      <c r="M282" s="31">
        <f t="shared" si="49"/>
        <v>6.3</v>
      </c>
      <c r="N282" s="31">
        <f t="shared" si="50"/>
        <v>11</v>
      </c>
      <c r="O282" s="8" t="str">
        <f t="shared" si="51"/>
        <v>Hitano-EXR</v>
      </c>
      <c r="P282" s="12" t="str">
        <f t="shared" si="47"/>
        <v>Hitano R-06.0x11.0</v>
      </c>
      <c r="Q282" s="12" t="str">
        <f t="shared" si="52"/>
        <v>22µF</v>
      </c>
      <c r="R282" s="12" t="str">
        <f t="shared" si="53"/>
        <v>50v</v>
      </c>
      <c r="S282" s="8" t="str">
        <f t="shared" si="48"/>
        <v>22µF 50v - R06.3-11.0 Hitano (EXR)</v>
      </c>
      <c r="T282" s="8">
        <f t="shared" si="54"/>
        <v>1</v>
      </c>
      <c r="U282" s="8" t="b">
        <f>NOT(ISNA(MATCH($P282,Packages!$A:$A,0)))</f>
        <v>1</v>
      </c>
    </row>
    <row r="283" spans="1:21">
      <c r="A283" s="6" t="s">
        <v>49</v>
      </c>
      <c r="B283" s="6" t="s">
        <v>52</v>
      </c>
      <c r="C283" s="33">
        <v>33</v>
      </c>
      <c r="D283" s="34">
        <v>50</v>
      </c>
      <c r="E283" s="6" t="s">
        <v>69</v>
      </c>
      <c r="F283" s="6" t="s">
        <v>59</v>
      </c>
      <c r="G283" s="6"/>
      <c r="H283" s="7" t="s">
        <v>142</v>
      </c>
      <c r="I283" s="7" t="str">
        <f t="shared" si="55"/>
        <v>HITANO</v>
      </c>
      <c r="J283" s="7" t="str">
        <f t="shared" si="56"/>
        <v>33µF</v>
      </c>
      <c r="K283" s="7" t="str">
        <f t="shared" si="57"/>
        <v>50v</v>
      </c>
      <c r="L283" s="7" t="str">
        <f t="shared" si="58"/>
        <v>EXR</v>
      </c>
      <c r="M283" s="31">
        <f t="shared" si="49"/>
        <v>6.3</v>
      </c>
      <c r="N283" s="31">
        <f t="shared" si="50"/>
        <v>11</v>
      </c>
      <c r="O283" s="8" t="str">
        <f t="shared" si="51"/>
        <v>Hitano-EXR</v>
      </c>
      <c r="P283" s="12" t="str">
        <f t="shared" si="47"/>
        <v>Hitano R-06.0x11.0</v>
      </c>
      <c r="Q283" s="12" t="str">
        <f t="shared" si="52"/>
        <v>33µF</v>
      </c>
      <c r="R283" s="12" t="str">
        <f t="shared" si="53"/>
        <v>50v</v>
      </c>
      <c r="S283" s="8" t="str">
        <f t="shared" si="48"/>
        <v>33µF 50v - R06.3-11.0 Hitano (EXR)</v>
      </c>
      <c r="T283" s="8">
        <f t="shared" si="54"/>
        <v>1</v>
      </c>
      <c r="U283" s="8" t="b">
        <f>NOT(ISNA(MATCH($P283,Packages!$A:$A,0)))</f>
        <v>1</v>
      </c>
    </row>
    <row r="284" spans="1:21">
      <c r="A284" s="6" t="s">
        <v>49</v>
      </c>
      <c r="B284" s="6" t="s">
        <v>52</v>
      </c>
      <c r="C284" s="33">
        <v>47</v>
      </c>
      <c r="D284" s="34">
        <v>50</v>
      </c>
      <c r="E284" s="6" t="s">
        <v>69</v>
      </c>
      <c r="F284" s="6" t="s">
        <v>59</v>
      </c>
      <c r="G284" s="6"/>
      <c r="H284" s="7" t="s">
        <v>142</v>
      </c>
      <c r="I284" s="7" t="str">
        <f t="shared" si="55"/>
        <v>HITANO</v>
      </c>
      <c r="J284" s="7" t="str">
        <f t="shared" si="56"/>
        <v>47µF</v>
      </c>
      <c r="K284" s="7" t="str">
        <f t="shared" si="57"/>
        <v>50v</v>
      </c>
      <c r="L284" s="7" t="str">
        <f t="shared" si="58"/>
        <v>EXR</v>
      </c>
      <c r="M284" s="31">
        <f t="shared" si="49"/>
        <v>6.3</v>
      </c>
      <c r="N284" s="31">
        <f t="shared" si="50"/>
        <v>11</v>
      </c>
      <c r="O284" s="8" t="str">
        <f t="shared" si="51"/>
        <v>Hitano-EXR</v>
      </c>
      <c r="P284" s="12" t="str">
        <f t="shared" si="47"/>
        <v>Hitano R-06.0x11.0</v>
      </c>
      <c r="Q284" s="12" t="str">
        <f t="shared" si="52"/>
        <v>47µF</v>
      </c>
      <c r="R284" s="12" t="str">
        <f t="shared" si="53"/>
        <v>50v</v>
      </c>
      <c r="S284" s="8" t="str">
        <f t="shared" si="48"/>
        <v>47µF 50v - R06.3-11.0 Hitano (EXR)</v>
      </c>
      <c r="T284" s="8">
        <f t="shared" si="54"/>
        <v>1</v>
      </c>
      <c r="U284" s="8" t="b">
        <f>NOT(ISNA(MATCH($P284,Packages!$A:$A,0)))</f>
        <v>1</v>
      </c>
    </row>
    <row r="285" spans="1:21">
      <c r="A285" s="6" t="s">
        <v>49</v>
      </c>
      <c r="B285" s="6" t="s">
        <v>52</v>
      </c>
      <c r="C285" s="33">
        <v>68</v>
      </c>
      <c r="D285" s="34">
        <v>50</v>
      </c>
      <c r="E285" s="6" t="s">
        <v>71</v>
      </c>
      <c r="F285" s="6" t="s">
        <v>59</v>
      </c>
      <c r="G285" s="6"/>
      <c r="H285" s="7" t="s">
        <v>142</v>
      </c>
      <c r="I285" s="7" t="str">
        <f t="shared" si="55"/>
        <v>HITANO</v>
      </c>
      <c r="J285" s="7" t="str">
        <f t="shared" si="56"/>
        <v>68µF</v>
      </c>
      <c r="K285" s="7" t="str">
        <f t="shared" si="57"/>
        <v>50v</v>
      </c>
      <c r="L285" s="7" t="str">
        <f t="shared" si="58"/>
        <v>EXR</v>
      </c>
      <c r="M285" s="31">
        <f t="shared" si="49"/>
        <v>8</v>
      </c>
      <c r="N285" s="31">
        <f t="shared" si="50"/>
        <v>12</v>
      </c>
      <c r="O285" s="8" t="str">
        <f t="shared" si="51"/>
        <v>Hitano-EXR</v>
      </c>
      <c r="P285" s="12" t="str">
        <f t="shared" si="47"/>
        <v>Hitano R-08.0x12.0</v>
      </c>
      <c r="Q285" s="12" t="str">
        <f t="shared" si="52"/>
        <v>68µF</v>
      </c>
      <c r="R285" s="12" t="str">
        <f t="shared" si="53"/>
        <v>50v</v>
      </c>
      <c r="S285" s="8" t="str">
        <f t="shared" si="48"/>
        <v>68µF 50v - R08.0-12.0 Hitano (EXR)</v>
      </c>
      <c r="T285" s="8">
        <f t="shared" si="54"/>
        <v>1</v>
      </c>
      <c r="U285" s="8" t="b">
        <f>NOT(ISNA(MATCH($P285,Packages!$A:$A,0)))</f>
        <v>1</v>
      </c>
    </row>
    <row r="286" spans="1:21">
      <c r="A286" s="6" t="s">
        <v>49</v>
      </c>
      <c r="B286" s="6" t="s">
        <v>52</v>
      </c>
      <c r="C286" s="33">
        <v>100</v>
      </c>
      <c r="D286" s="34">
        <v>50</v>
      </c>
      <c r="E286" s="6" t="s">
        <v>92</v>
      </c>
      <c r="F286" s="6" t="s">
        <v>59</v>
      </c>
      <c r="G286" s="6"/>
      <c r="H286" s="7" t="s">
        <v>142</v>
      </c>
      <c r="I286" s="7" t="str">
        <f>UPPER($A286)</f>
        <v>HITANO</v>
      </c>
      <c r="J286" s="7" t="str">
        <f t="shared" si="56"/>
        <v>100µF</v>
      </c>
      <c r="K286" s="7" t="str">
        <f t="shared" si="57"/>
        <v>50v</v>
      </c>
      <c r="L286" s="7" t="str">
        <f t="shared" si="58"/>
        <v>EXR</v>
      </c>
      <c r="M286" s="31">
        <f t="shared" si="49"/>
        <v>10</v>
      </c>
      <c r="N286" s="31">
        <f t="shared" si="50"/>
        <v>12.5</v>
      </c>
      <c r="O286" s="8" t="str">
        <f t="shared" si="51"/>
        <v>Hitano-EXR</v>
      </c>
      <c r="P286" s="12" t="str">
        <f t="shared" si="47"/>
        <v>Hitano R-10.0x13.0</v>
      </c>
      <c r="Q286" s="12" t="str">
        <f t="shared" si="52"/>
        <v>100µF</v>
      </c>
      <c r="R286" s="12" t="str">
        <f t="shared" si="53"/>
        <v>50v</v>
      </c>
      <c r="S286" s="8" t="str">
        <f t="shared" si="48"/>
        <v>100µF 50v - R10.0-12.5 Hitano (EXR)</v>
      </c>
      <c r="T286" s="8">
        <f t="shared" si="54"/>
        <v>1</v>
      </c>
      <c r="U286" s="8" t="b">
        <f>NOT(ISNA(MATCH($P286,Packages!$A:$A,0)))</f>
        <v>1</v>
      </c>
    </row>
    <row r="287" spans="1:21">
      <c r="A287" s="6" t="s">
        <v>49</v>
      </c>
      <c r="B287" s="6" t="s">
        <v>52</v>
      </c>
      <c r="C287" s="33">
        <v>150</v>
      </c>
      <c r="D287" s="34">
        <v>50</v>
      </c>
      <c r="E287" s="6" t="s">
        <v>92</v>
      </c>
      <c r="F287" s="6" t="s">
        <v>59</v>
      </c>
      <c r="G287" s="6"/>
      <c r="H287" s="7" t="s">
        <v>142</v>
      </c>
      <c r="I287" s="7" t="str">
        <f t="shared" ref="I287:I350" si="59">UPPER($A287)</f>
        <v>HITANO</v>
      </c>
      <c r="J287" s="7" t="str">
        <f t="shared" si="56"/>
        <v>150µF</v>
      </c>
      <c r="K287" s="7" t="str">
        <f t="shared" si="57"/>
        <v>50v</v>
      </c>
      <c r="L287" s="7" t="str">
        <f t="shared" si="58"/>
        <v>EXR</v>
      </c>
      <c r="M287" s="31">
        <f t="shared" si="49"/>
        <v>10</v>
      </c>
      <c r="N287" s="31">
        <f t="shared" si="50"/>
        <v>12.5</v>
      </c>
      <c r="O287" s="8" t="str">
        <f t="shared" si="51"/>
        <v>Hitano-EXR</v>
      </c>
      <c r="P287" s="12" t="str">
        <f t="shared" si="47"/>
        <v>Hitano R-10.0x13.0</v>
      </c>
      <c r="Q287" s="12" t="str">
        <f t="shared" si="52"/>
        <v>150µF</v>
      </c>
      <c r="R287" s="12" t="str">
        <f t="shared" si="53"/>
        <v>50v</v>
      </c>
      <c r="S287" s="8" t="str">
        <f t="shared" si="48"/>
        <v>150µF 50v - R10.0-12.5 Hitano (EXR)</v>
      </c>
      <c r="T287" s="8">
        <f t="shared" si="54"/>
        <v>1</v>
      </c>
      <c r="U287" s="8" t="b">
        <f>NOT(ISNA(MATCH($P287,Packages!$A:$A,0)))</f>
        <v>1</v>
      </c>
    </row>
    <row r="288" spans="1:21">
      <c r="A288" s="6" t="s">
        <v>49</v>
      </c>
      <c r="B288" s="6" t="s">
        <v>52</v>
      </c>
      <c r="C288" s="33">
        <v>220</v>
      </c>
      <c r="D288" s="34">
        <v>50</v>
      </c>
      <c r="E288" s="6" t="s">
        <v>74</v>
      </c>
      <c r="F288" s="6" t="s">
        <v>59</v>
      </c>
      <c r="G288" s="6"/>
      <c r="H288" s="7" t="s">
        <v>142</v>
      </c>
      <c r="I288" s="7" t="str">
        <f t="shared" si="59"/>
        <v>HITANO</v>
      </c>
      <c r="J288" s="7" t="str">
        <f t="shared" si="56"/>
        <v>220µF</v>
      </c>
      <c r="K288" s="7" t="str">
        <f t="shared" si="57"/>
        <v>50v</v>
      </c>
      <c r="L288" s="7" t="str">
        <f t="shared" si="58"/>
        <v>EXR</v>
      </c>
      <c r="M288" s="31">
        <f t="shared" si="49"/>
        <v>10</v>
      </c>
      <c r="N288" s="31">
        <f t="shared" si="50"/>
        <v>16</v>
      </c>
      <c r="O288" s="8" t="str">
        <f t="shared" si="51"/>
        <v>Hitano-EXR</v>
      </c>
      <c r="P288" s="12" t="str">
        <f t="shared" si="47"/>
        <v>Hitano R-10.0x16.0</v>
      </c>
      <c r="Q288" s="12" t="str">
        <f t="shared" si="52"/>
        <v>220µF</v>
      </c>
      <c r="R288" s="12" t="str">
        <f t="shared" si="53"/>
        <v>50v</v>
      </c>
      <c r="S288" s="8" t="str">
        <f t="shared" si="48"/>
        <v>220µF 50v - R10.0-16.0 Hitano (EXR)</v>
      </c>
      <c r="T288" s="8">
        <f t="shared" si="54"/>
        <v>1</v>
      </c>
      <c r="U288" s="8" t="b">
        <f>NOT(ISNA(MATCH($P288,Packages!$A:$A,0)))</f>
        <v>1</v>
      </c>
    </row>
    <row r="289" spans="1:21">
      <c r="A289" s="6" t="s">
        <v>49</v>
      </c>
      <c r="B289" s="6" t="s">
        <v>52</v>
      </c>
      <c r="C289" s="33">
        <v>330</v>
      </c>
      <c r="D289" s="34">
        <v>50</v>
      </c>
      <c r="E289" s="6" t="s">
        <v>75</v>
      </c>
      <c r="F289" s="6" t="s">
        <v>59</v>
      </c>
      <c r="G289" s="6"/>
      <c r="H289" s="7" t="s">
        <v>142</v>
      </c>
      <c r="I289" s="7" t="str">
        <f t="shared" si="59"/>
        <v>HITANO</v>
      </c>
      <c r="J289" s="7" t="str">
        <f t="shared" si="56"/>
        <v>330µF</v>
      </c>
      <c r="K289" s="7" t="str">
        <f t="shared" si="57"/>
        <v>50v</v>
      </c>
      <c r="L289" s="7" t="str">
        <f t="shared" si="58"/>
        <v>EXR</v>
      </c>
      <c r="M289" s="31">
        <f t="shared" si="49"/>
        <v>10</v>
      </c>
      <c r="N289" s="31">
        <f t="shared" si="50"/>
        <v>21</v>
      </c>
      <c r="O289" s="8" t="str">
        <f t="shared" si="51"/>
        <v>Hitano-EXR</v>
      </c>
      <c r="P289" s="12" t="str">
        <f t="shared" si="47"/>
        <v>Hitano R-10.0x21.0</v>
      </c>
      <c r="Q289" s="12" t="str">
        <f t="shared" si="52"/>
        <v>330µF</v>
      </c>
      <c r="R289" s="12" t="str">
        <f t="shared" si="53"/>
        <v>50v</v>
      </c>
      <c r="S289" s="8" t="str">
        <f t="shared" si="48"/>
        <v>330µF 50v - R10.0-21.0 Hitano (EXR)</v>
      </c>
      <c r="T289" s="8">
        <f t="shared" si="54"/>
        <v>1</v>
      </c>
      <c r="U289" s="8" t="b">
        <f>NOT(ISNA(MATCH($P289,Packages!$A:$A,0)))</f>
        <v>1</v>
      </c>
    </row>
    <row r="290" spans="1:21">
      <c r="A290" s="6" t="s">
        <v>49</v>
      </c>
      <c r="B290" s="6" t="s">
        <v>52</v>
      </c>
      <c r="C290" s="33">
        <v>470</v>
      </c>
      <c r="D290" s="34">
        <v>50</v>
      </c>
      <c r="E290" s="6" t="s">
        <v>76</v>
      </c>
      <c r="F290" s="6" t="s">
        <v>59</v>
      </c>
      <c r="G290" s="6"/>
      <c r="H290" s="7" t="s">
        <v>142</v>
      </c>
      <c r="I290" s="7" t="str">
        <f t="shared" si="59"/>
        <v>HITANO</v>
      </c>
      <c r="J290" s="7" t="str">
        <f t="shared" si="56"/>
        <v>470µF</v>
      </c>
      <c r="K290" s="7" t="str">
        <f t="shared" si="57"/>
        <v>50v</v>
      </c>
      <c r="L290" s="7" t="str">
        <f t="shared" si="58"/>
        <v>EXR</v>
      </c>
      <c r="M290" s="31">
        <f t="shared" si="49"/>
        <v>13</v>
      </c>
      <c r="N290" s="31">
        <f t="shared" si="50"/>
        <v>21</v>
      </c>
      <c r="O290" s="8" t="str">
        <f t="shared" si="51"/>
        <v>Hitano-EXR</v>
      </c>
      <c r="P290" s="12" t="str">
        <f t="shared" si="47"/>
        <v>Hitano R-13.0x21.0</v>
      </c>
      <c r="Q290" s="12" t="str">
        <f t="shared" si="52"/>
        <v>470µF</v>
      </c>
      <c r="R290" s="12" t="str">
        <f t="shared" si="53"/>
        <v>50v</v>
      </c>
      <c r="S290" s="8" t="str">
        <f t="shared" si="48"/>
        <v>470µF 50v - R13.0-21.0 Hitano (EXR)</v>
      </c>
      <c r="T290" s="8">
        <f t="shared" si="54"/>
        <v>1</v>
      </c>
      <c r="U290" s="8" t="b">
        <f>NOT(ISNA(MATCH($P290,Packages!$A:$A,0)))</f>
        <v>1</v>
      </c>
    </row>
    <row r="291" spans="1:21">
      <c r="A291" s="6" t="s">
        <v>49</v>
      </c>
      <c r="B291" s="6" t="s">
        <v>52</v>
      </c>
      <c r="C291" s="33">
        <v>680</v>
      </c>
      <c r="D291" s="34">
        <v>50</v>
      </c>
      <c r="E291" s="6" t="s">
        <v>77</v>
      </c>
      <c r="F291" s="6" t="s">
        <v>59</v>
      </c>
      <c r="G291" s="6"/>
      <c r="H291" s="7" t="s">
        <v>142</v>
      </c>
      <c r="I291" s="7" t="str">
        <f t="shared" si="59"/>
        <v>HITANO</v>
      </c>
      <c r="J291" s="7" t="str">
        <f t="shared" si="56"/>
        <v>680µF</v>
      </c>
      <c r="K291" s="7" t="str">
        <f t="shared" si="57"/>
        <v>50v</v>
      </c>
      <c r="L291" s="7" t="str">
        <f t="shared" si="58"/>
        <v>EXR</v>
      </c>
      <c r="M291" s="31">
        <f t="shared" si="49"/>
        <v>13</v>
      </c>
      <c r="N291" s="31">
        <f t="shared" si="50"/>
        <v>26</v>
      </c>
      <c r="O291" s="8" t="str">
        <f t="shared" si="51"/>
        <v>Hitano-EXR</v>
      </c>
      <c r="P291" s="12" t="str">
        <f t="shared" si="47"/>
        <v>Hitano R-13.0x26.0</v>
      </c>
      <c r="Q291" s="12" t="str">
        <f t="shared" si="52"/>
        <v>680µF</v>
      </c>
      <c r="R291" s="12" t="str">
        <f t="shared" si="53"/>
        <v>50v</v>
      </c>
      <c r="S291" s="8" t="str">
        <f t="shared" si="48"/>
        <v>680µF 50v - R13.0-26.0 Hitano (EXR)</v>
      </c>
      <c r="T291" s="8">
        <f t="shared" si="54"/>
        <v>1</v>
      </c>
      <c r="U291" s="8" t="b">
        <f>NOT(ISNA(MATCH($P291,Packages!$A:$A,0)))</f>
        <v>1</v>
      </c>
    </row>
    <row r="292" spans="1:21">
      <c r="A292" s="6" t="s">
        <v>49</v>
      </c>
      <c r="B292" s="6" t="s">
        <v>52</v>
      </c>
      <c r="C292" s="33">
        <v>1000</v>
      </c>
      <c r="D292" s="34">
        <v>50</v>
      </c>
      <c r="E292" s="6" t="s">
        <v>78</v>
      </c>
      <c r="F292" s="6" t="s">
        <v>59</v>
      </c>
      <c r="G292" s="6"/>
      <c r="H292" s="7" t="s">
        <v>142</v>
      </c>
      <c r="I292" s="7" t="str">
        <f t="shared" si="59"/>
        <v>HITANO</v>
      </c>
      <c r="J292" s="7" t="str">
        <f t="shared" si="56"/>
        <v>1000µF</v>
      </c>
      <c r="K292" s="7" t="str">
        <f t="shared" si="57"/>
        <v>50v</v>
      </c>
      <c r="L292" s="7" t="str">
        <f t="shared" si="58"/>
        <v>EXR</v>
      </c>
      <c r="M292" s="31">
        <f t="shared" si="49"/>
        <v>16</v>
      </c>
      <c r="N292" s="31">
        <f t="shared" si="50"/>
        <v>26</v>
      </c>
      <c r="O292" s="8" t="str">
        <f t="shared" si="51"/>
        <v>Hitano-EXR</v>
      </c>
      <c r="P292" s="12" t="str">
        <f t="shared" si="47"/>
        <v>Hitano R-16.0x26.0</v>
      </c>
      <c r="Q292" s="12" t="str">
        <f t="shared" si="52"/>
        <v>1000µF</v>
      </c>
      <c r="R292" s="12" t="str">
        <f t="shared" si="53"/>
        <v>50v</v>
      </c>
      <c r="S292" s="8" t="str">
        <f t="shared" si="48"/>
        <v>1000µF 50v - R16.0-26.0 Hitano (EXR)</v>
      </c>
      <c r="T292" s="8">
        <f t="shared" si="54"/>
        <v>1</v>
      </c>
      <c r="U292" s="8" t="b">
        <f>NOT(ISNA(MATCH($P292,Packages!$A:$A,0)))</f>
        <v>1</v>
      </c>
    </row>
    <row r="293" spans="1:21">
      <c r="A293" s="6" t="s">
        <v>49</v>
      </c>
      <c r="B293" s="6" t="s">
        <v>52</v>
      </c>
      <c r="C293" s="33">
        <v>1500</v>
      </c>
      <c r="D293" s="34">
        <v>50</v>
      </c>
      <c r="E293" s="6" t="s">
        <v>98</v>
      </c>
      <c r="F293" s="6" t="s">
        <v>59</v>
      </c>
      <c r="G293" s="6"/>
      <c r="H293" s="7" t="s">
        <v>142</v>
      </c>
      <c r="I293" s="7" t="str">
        <f t="shared" si="59"/>
        <v>HITANO</v>
      </c>
      <c r="J293" s="7" t="str">
        <f t="shared" si="56"/>
        <v>1500µF</v>
      </c>
      <c r="K293" s="7" t="str">
        <f t="shared" si="57"/>
        <v>50v</v>
      </c>
      <c r="L293" s="7" t="str">
        <f t="shared" si="58"/>
        <v>EXR</v>
      </c>
      <c r="M293" s="31">
        <f t="shared" si="49"/>
        <v>16</v>
      </c>
      <c r="N293" s="31">
        <f t="shared" si="50"/>
        <v>31.5</v>
      </c>
      <c r="O293" s="8" t="str">
        <f t="shared" si="51"/>
        <v>Hitano-EXR</v>
      </c>
      <c r="P293" s="12" t="str">
        <f t="shared" si="47"/>
        <v>Hitano R-16.0x32.0</v>
      </c>
      <c r="Q293" s="12" t="str">
        <f t="shared" si="52"/>
        <v>1500µF</v>
      </c>
      <c r="R293" s="12" t="str">
        <f t="shared" si="53"/>
        <v>50v</v>
      </c>
      <c r="S293" s="8" t="str">
        <f t="shared" si="48"/>
        <v>1500µF 50v - R16.0-31.5 Hitano (EXR)</v>
      </c>
      <c r="T293" s="8">
        <f t="shared" si="54"/>
        <v>1</v>
      </c>
      <c r="U293" s="8" t="b">
        <f>NOT(ISNA(MATCH($P293,Packages!$A:$A,0)))</f>
        <v>1</v>
      </c>
    </row>
    <row r="294" spans="1:21">
      <c r="A294" s="6" t="s">
        <v>49</v>
      </c>
      <c r="B294" s="6" t="s">
        <v>52</v>
      </c>
      <c r="C294" s="33">
        <v>2200</v>
      </c>
      <c r="D294" s="34">
        <v>50</v>
      </c>
      <c r="E294" s="6" t="s">
        <v>80</v>
      </c>
      <c r="F294" s="6" t="s">
        <v>59</v>
      </c>
      <c r="G294" s="6"/>
      <c r="H294" s="7" t="s">
        <v>142</v>
      </c>
      <c r="I294" s="7" t="str">
        <f t="shared" si="59"/>
        <v>HITANO</v>
      </c>
      <c r="J294" s="7" t="str">
        <f t="shared" si="56"/>
        <v>2200µF</v>
      </c>
      <c r="K294" s="7" t="str">
        <f t="shared" si="57"/>
        <v>50v</v>
      </c>
      <c r="L294" s="7" t="str">
        <f t="shared" si="58"/>
        <v>EXR</v>
      </c>
      <c r="M294" s="31">
        <f t="shared" si="49"/>
        <v>18</v>
      </c>
      <c r="N294" s="31">
        <f t="shared" si="50"/>
        <v>36</v>
      </c>
      <c r="O294" s="8" t="str">
        <f t="shared" si="51"/>
        <v>Hitano-EXR</v>
      </c>
      <c r="P294" s="12" t="str">
        <f t="shared" si="47"/>
        <v>Hitano R-18.0x36.0</v>
      </c>
      <c r="Q294" s="12" t="str">
        <f t="shared" si="52"/>
        <v>2200µF</v>
      </c>
      <c r="R294" s="12" t="str">
        <f t="shared" si="53"/>
        <v>50v</v>
      </c>
      <c r="S294" s="8" t="str">
        <f t="shared" si="48"/>
        <v>2200µF 50v - R18.0-36.0 Hitano (EXR)</v>
      </c>
      <c r="T294" s="8">
        <f t="shared" si="54"/>
        <v>1</v>
      </c>
      <c r="U294" s="8" t="b">
        <f>NOT(ISNA(MATCH($P294,Packages!$A:$A,0)))</f>
        <v>1</v>
      </c>
    </row>
    <row r="295" spans="1:21">
      <c r="A295" s="6" t="s">
        <v>49</v>
      </c>
      <c r="B295" s="6" t="s">
        <v>52</v>
      </c>
      <c r="C295" s="33">
        <v>3300</v>
      </c>
      <c r="D295" s="34">
        <v>50</v>
      </c>
      <c r="E295" s="6" t="s">
        <v>84</v>
      </c>
      <c r="F295" s="6" t="s">
        <v>59</v>
      </c>
      <c r="G295" s="6"/>
      <c r="H295" s="7" t="s">
        <v>142</v>
      </c>
      <c r="I295" s="7" t="str">
        <f t="shared" si="59"/>
        <v>HITANO</v>
      </c>
      <c r="J295" s="7" t="str">
        <f t="shared" si="56"/>
        <v>3300µF</v>
      </c>
      <c r="K295" s="7" t="str">
        <f t="shared" si="57"/>
        <v>50v</v>
      </c>
      <c r="L295" s="7" t="str">
        <f t="shared" si="58"/>
        <v>EXR</v>
      </c>
      <c r="M295" s="31">
        <f t="shared" si="49"/>
        <v>18</v>
      </c>
      <c r="N295" s="31">
        <f t="shared" si="50"/>
        <v>41</v>
      </c>
      <c r="O295" s="8" t="str">
        <f t="shared" si="51"/>
        <v>Hitano-EXR</v>
      </c>
      <c r="P295" s="12" t="str">
        <f t="shared" si="47"/>
        <v>Hitano R-18.0x41.0</v>
      </c>
      <c r="Q295" s="12" t="str">
        <f t="shared" si="52"/>
        <v>3300µF</v>
      </c>
      <c r="R295" s="12" t="str">
        <f t="shared" si="53"/>
        <v>50v</v>
      </c>
      <c r="S295" s="8" t="str">
        <f t="shared" si="48"/>
        <v>3300µF 50v - R18.0-41.0 Hitano (EXR)</v>
      </c>
      <c r="T295" s="8">
        <f t="shared" si="54"/>
        <v>1</v>
      </c>
      <c r="U295" s="8" t="b">
        <f>NOT(ISNA(MATCH($P295,Packages!$A:$A,0)))</f>
        <v>1</v>
      </c>
    </row>
    <row r="296" spans="1:21">
      <c r="A296" s="6" t="s">
        <v>49</v>
      </c>
      <c r="B296" s="6" t="s">
        <v>52</v>
      </c>
      <c r="C296" s="33">
        <v>4.7</v>
      </c>
      <c r="D296" s="34">
        <v>63</v>
      </c>
      <c r="E296" s="6" t="s">
        <v>68</v>
      </c>
      <c r="F296" s="6" t="s">
        <v>59</v>
      </c>
      <c r="G296" s="6"/>
      <c r="H296" s="7" t="s">
        <v>142</v>
      </c>
      <c r="I296" s="7" t="str">
        <f t="shared" si="59"/>
        <v>HITANO</v>
      </c>
      <c r="J296" s="7" t="str">
        <f t="shared" si="56"/>
        <v>4.7µF</v>
      </c>
      <c r="K296" s="7" t="str">
        <f t="shared" si="57"/>
        <v>63v</v>
      </c>
      <c r="L296" s="7" t="str">
        <f t="shared" si="58"/>
        <v>EXR</v>
      </c>
      <c r="M296" s="31">
        <f t="shared" si="49"/>
        <v>5</v>
      </c>
      <c r="N296" s="31">
        <f t="shared" si="50"/>
        <v>11</v>
      </c>
      <c r="O296" s="8" t="str">
        <f t="shared" si="51"/>
        <v>Hitano-EXR</v>
      </c>
      <c r="P296" s="12" t="str">
        <f t="shared" si="47"/>
        <v>Hitano R-05.0x11.0</v>
      </c>
      <c r="Q296" s="12" t="str">
        <f t="shared" si="52"/>
        <v>4.7µF</v>
      </c>
      <c r="R296" s="12" t="str">
        <f t="shared" si="53"/>
        <v>63v</v>
      </c>
      <c r="S296" s="8" t="str">
        <f t="shared" si="48"/>
        <v>4.7µF 63v - R05.0-11.0 Hitano (EXR)</v>
      </c>
      <c r="T296" s="8">
        <f t="shared" si="54"/>
        <v>1</v>
      </c>
      <c r="U296" s="8" t="b">
        <f>NOT(ISNA(MATCH($P296,Packages!$A:$A,0)))</f>
        <v>1</v>
      </c>
    </row>
    <row r="297" spans="1:21">
      <c r="A297" s="6" t="s">
        <v>49</v>
      </c>
      <c r="B297" s="6" t="s">
        <v>52</v>
      </c>
      <c r="C297" s="33">
        <v>10</v>
      </c>
      <c r="D297" s="34">
        <v>63</v>
      </c>
      <c r="E297" s="6" t="s">
        <v>68</v>
      </c>
      <c r="F297" s="6" t="s">
        <v>59</v>
      </c>
      <c r="G297" s="6"/>
      <c r="H297" s="7" t="s">
        <v>142</v>
      </c>
      <c r="I297" s="7" t="str">
        <f t="shared" si="59"/>
        <v>HITANO</v>
      </c>
      <c r="J297" s="7" t="str">
        <f t="shared" si="56"/>
        <v>10µF</v>
      </c>
      <c r="K297" s="7" t="str">
        <f t="shared" si="57"/>
        <v>63v</v>
      </c>
      <c r="L297" s="7" t="str">
        <f t="shared" si="58"/>
        <v>EXR</v>
      </c>
      <c r="M297" s="31">
        <f t="shared" si="49"/>
        <v>5</v>
      </c>
      <c r="N297" s="31">
        <f t="shared" si="50"/>
        <v>11</v>
      </c>
      <c r="O297" s="8" t="str">
        <f t="shared" si="51"/>
        <v>Hitano-EXR</v>
      </c>
      <c r="P297" s="12" t="str">
        <f t="shared" si="47"/>
        <v>Hitano R-05.0x11.0</v>
      </c>
      <c r="Q297" s="12" t="str">
        <f t="shared" si="52"/>
        <v>10µF</v>
      </c>
      <c r="R297" s="12" t="str">
        <f t="shared" si="53"/>
        <v>63v</v>
      </c>
      <c r="S297" s="8" t="str">
        <f t="shared" si="48"/>
        <v>10µF 63v - R05.0-11.0 Hitano (EXR)</v>
      </c>
      <c r="T297" s="8">
        <f t="shared" si="54"/>
        <v>1</v>
      </c>
      <c r="U297" s="8" t="b">
        <f>NOT(ISNA(MATCH($P297,Packages!$A:$A,0)))</f>
        <v>1</v>
      </c>
    </row>
    <row r="298" spans="1:21">
      <c r="A298" s="6" t="s">
        <v>49</v>
      </c>
      <c r="B298" s="6" t="s">
        <v>52</v>
      </c>
      <c r="C298" s="33">
        <v>22</v>
      </c>
      <c r="D298" s="34">
        <v>63</v>
      </c>
      <c r="E298" s="6" t="s">
        <v>69</v>
      </c>
      <c r="F298" s="6" t="s">
        <v>59</v>
      </c>
      <c r="G298" s="6"/>
      <c r="H298" s="7" t="s">
        <v>142</v>
      </c>
      <c r="I298" s="7" t="str">
        <f t="shared" si="59"/>
        <v>HITANO</v>
      </c>
      <c r="J298" s="7" t="str">
        <f t="shared" si="56"/>
        <v>22µF</v>
      </c>
      <c r="K298" s="7" t="str">
        <f t="shared" si="57"/>
        <v>63v</v>
      </c>
      <c r="L298" s="7" t="str">
        <f t="shared" si="58"/>
        <v>EXR</v>
      </c>
      <c r="M298" s="31">
        <f t="shared" si="49"/>
        <v>6.3</v>
      </c>
      <c r="N298" s="31">
        <f t="shared" si="50"/>
        <v>11</v>
      </c>
      <c r="O298" s="8" t="str">
        <f t="shared" si="51"/>
        <v>Hitano-EXR</v>
      </c>
      <c r="P298" s="12" t="str">
        <f t="shared" si="47"/>
        <v>Hitano R-06.0x11.0</v>
      </c>
      <c r="Q298" s="12" t="str">
        <f t="shared" si="52"/>
        <v>22µF</v>
      </c>
      <c r="R298" s="12" t="str">
        <f t="shared" si="53"/>
        <v>63v</v>
      </c>
      <c r="S298" s="8" t="str">
        <f t="shared" si="48"/>
        <v>22µF 63v - R06.3-11.0 Hitano (EXR)</v>
      </c>
      <c r="T298" s="8">
        <f t="shared" si="54"/>
        <v>1</v>
      </c>
      <c r="U298" s="8" t="b">
        <f>NOT(ISNA(MATCH($P298,Packages!$A:$A,0)))</f>
        <v>1</v>
      </c>
    </row>
    <row r="299" spans="1:21">
      <c r="A299" s="6" t="s">
        <v>49</v>
      </c>
      <c r="B299" s="6" t="s">
        <v>52</v>
      </c>
      <c r="C299" s="33">
        <v>33</v>
      </c>
      <c r="D299" s="34">
        <v>63</v>
      </c>
      <c r="E299" s="6" t="s">
        <v>69</v>
      </c>
      <c r="F299" s="6" t="s">
        <v>59</v>
      </c>
      <c r="G299" s="6"/>
      <c r="H299" s="7" t="s">
        <v>142</v>
      </c>
      <c r="I299" s="7" t="str">
        <f t="shared" si="59"/>
        <v>HITANO</v>
      </c>
      <c r="J299" s="7" t="str">
        <f t="shared" si="56"/>
        <v>33µF</v>
      </c>
      <c r="K299" s="7" t="str">
        <f t="shared" si="57"/>
        <v>63v</v>
      </c>
      <c r="L299" s="7" t="str">
        <f t="shared" si="58"/>
        <v>EXR</v>
      </c>
      <c r="M299" s="31">
        <f t="shared" si="49"/>
        <v>6.3</v>
      </c>
      <c r="N299" s="31">
        <f t="shared" si="50"/>
        <v>11</v>
      </c>
      <c r="O299" s="8" t="str">
        <f t="shared" si="51"/>
        <v>Hitano-EXR</v>
      </c>
      <c r="P299" s="12" t="str">
        <f t="shared" si="47"/>
        <v>Hitano R-06.0x11.0</v>
      </c>
      <c r="Q299" s="12" t="str">
        <f t="shared" si="52"/>
        <v>33µF</v>
      </c>
      <c r="R299" s="12" t="str">
        <f t="shared" si="53"/>
        <v>63v</v>
      </c>
      <c r="S299" s="8" t="str">
        <f t="shared" si="48"/>
        <v>33µF 63v - R06.3-11.0 Hitano (EXR)</v>
      </c>
      <c r="T299" s="8">
        <f t="shared" si="54"/>
        <v>1</v>
      </c>
      <c r="U299" s="8" t="b">
        <f>NOT(ISNA(MATCH($P299,Packages!$A:$A,0)))</f>
        <v>1</v>
      </c>
    </row>
    <row r="300" spans="1:21">
      <c r="A300" s="6" t="s">
        <v>49</v>
      </c>
      <c r="B300" s="6" t="s">
        <v>52</v>
      </c>
      <c r="C300" s="33">
        <v>47</v>
      </c>
      <c r="D300" s="34">
        <v>63</v>
      </c>
      <c r="E300" s="6" t="s">
        <v>71</v>
      </c>
      <c r="F300" s="6" t="s">
        <v>59</v>
      </c>
      <c r="G300" s="6"/>
      <c r="H300" s="7" t="s">
        <v>142</v>
      </c>
      <c r="I300" s="7" t="str">
        <f t="shared" si="59"/>
        <v>HITANO</v>
      </c>
      <c r="J300" s="7" t="str">
        <f t="shared" si="56"/>
        <v>47µF</v>
      </c>
      <c r="K300" s="7" t="str">
        <f t="shared" si="57"/>
        <v>63v</v>
      </c>
      <c r="L300" s="7" t="str">
        <f t="shared" si="58"/>
        <v>EXR</v>
      </c>
      <c r="M300" s="31">
        <f t="shared" si="49"/>
        <v>8</v>
      </c>
      <c r="N300" s="31">
        <f t="shared" si="50"/>
        <v>12</v>
      </c>
      <c r="O300" s="8" t="str">
        <f t="shared" si="51"/>
        <v>Hitano-EXR</v>
      </c>
      <c r="P300" s="12" t="str">
        <f t="shared" si="47"/>
        <v>Hitano R-08.0x12.0</v>
      </c>
      <c r="Q300" s="12" t="str">
        <f t="shared" si="52"/>
        <v>47µF</v>
      </c>
      <c r="R300" s="12" t="str">
        <f t="shared" si="53"/>
        <v>63v</v>
      </c>
      <c r="S300" s="8" t="str">
        <f t="shared" si="48"/>
        <v>47µF 63v - R08.0-12.0 Hitano (EXR)</v>
      </c>
      <c r="T300" s="8">
        <f t="shared" si="54"/>
        <v>1</v>
      </c>
      <c r="U300" s="8" t="b">
        <f>NOT(ISNA(MATCH($P300,Packages!$A:$A,0)))</f>
        <v>1</v>
      </c>
    </row>
    <row r="301" spans="1:21">
      <c r="A301" s="6" t="s">
        <v>49</v>
      </c>
      <c r="B301" s="6" t="s">
        <v>52</v>
      </c>
      <c r="C301" s="33">
        <v>68</v>
      </c>
      <c r="D301" s="34">
        <v>63</v>
      </c>
      <c r="E301" s="6" t="s">
        <v>92</v>
      </c>
      <c r="F301" s="6" t="s">
        <v>59</v>
      </c>
      <c r="G301" s="6"/>
      <c r="H301" s="7" t="s">
        <v>142</v>
      </c>
      <c r="I301" s="7" t="str">
        <f t="shared" si="59"/>
        <v>HITANO</v>
      </c>
      <c r="J301" s="7" t="str">
        <f t="shared" si="56"/>
        <v>68µF</v>
      </c>
      <c r="K301" s="7" t="str">
        <f t="shared" si="57"/>
        <v>63v</v>
      </c>
      <c r="L301" s="7" t="str">
        <f t="shared" si="58"/>
        <v>EXR</v>
      </c>
      <c r="M301" s="31">
        <f t="shared" si="49"/>
        <v>10</v>
      </c>
      <c r="N301" s="31">
        <f t="shared" si="50"/>
        <v>12.5</v>
      </c>
      <c r="O301" s="8" t="str">
        <f t="shared" si="51"/>
        <v>Hitano-EXR</v>
      </c>
      <c r="P301" s="12" t="str">
        <f t="shared" si="47"/>
        <v>Hitano R-10.0x13.0</v>
      </c>
      <c r="Q301" s="12" t="str">
        <f t="shared" si="52"/>
        <v>68µF</v>
      </c>
      <c r="R301" s="12" t="str">
        <f t="shared" si="53"/>
        <v>63v</v>
      </c>
      <c r="S301" s="8" t="str">
        <f t="shared" si="48"/>
        <v>68µF 63v - R10.0-12.5 Hitano (EXR)</v>
      </c>
      <c r="T301" s="8">
        <f t="shared" si="54"/>
        <v>1</v>
      </c>
      <c r="U301" s="8" t="b">
        <f>NOT(ISNA(MATCH($P301,Packages!$A:$A,0)))</f>
        <v>1</v>
      </c>
    </row>
    <row r="302" spans="1:21">
      <c r="A302" s="6" t="s">
        <v>49</v>
      </c>
      <c r="B302" s="6" t="s">
        <v>52</v>
      </c>
      <c r="C302" s="33">
        <v>100</v>
      </c>
      <c r="D302" s="34">
        <v>63</v>
      </c>
      <c r="E302" s="6" t="s">
        <v>74</v>
      </c>
      <c r="F302" s="6" t="s">
        <v>59</v>
      </c>
      <c r="G302" s="6"/>
      <c r="H302" s="7" t="s">
        <v>142</v>
      </c>
      <c r="I302" s="7" t="str">
        <f t="shared" si="59"/>
        <v>HITANO</v>
      </c>
      <c r="J302" s="7" t="str">
        <f t="shared" si="56"/>
        <v>100µF</v>
      </c>
      <c r="K302" s="7" t="str">
        <f t="shared" si="57"/>
        <v>63v</v>
      </c>
      <c r="L302" s="7" t="str">
        <f t="shared" si="58"/>
        <v>EXR</v>
      </c>
      <c r="M302" s="31">
        <f t="shared" si="49"/>
        <v>10</v>
      </c>
      <c r="N302" s="31">
        <f t="shared" si="50"/>
        <v>16</v>
      </c>
      <c r="O302" s="8" t="str">
        <f t="shared" si="51"/>
        <v>Hitano-EXR</v>
      </c>
      <c r="P302" s="12" t="str">
        <f t="shared" si="47"/>
        <v>Hitano R-10.0x16.0</v>
      </c>
      <c r="Q302" s="12" t="str">
        <f t="shared" si="52"/>
        <v>100µF</v>
      </c>
      <c r="R302" s="12" t="str">
        <f t="shared" si="53"/>
        <v>63v</v>
      </c>
      <c r="S302" s="8" t="str">
        <f t="shared" si="48"/>
        <v>100µF 63v - R10.0-16.0 Hitano (EXR)</v>
      </c>
      <c r="T302" s="8">
        <f t="shared" si="54"/>
        <v>1</v>
      </c>
      <c r="U302" s="8" t="b">
        <f>NOT(ISNA(MATCH($P302,Packages!$A:$A,0)))</f>
        <v>1</v>
      </c>
    </row>
    <row r="303" spans="1:21">
      <c r="A303" s="6" t="s">
        <v>49</v>
      </c>
      <c r="B303" s="6" t="s">
        <v>52</v>
      </c>
      <c r="C303" s="33">
        <v>150</v>
      </c>
      <c r="D303" s="34">
        <v>63</v>
      </c>
      <c r="E303" s="6" t="s">
        <v>74</v>
      </c>
      <c r="F303" s="6" t="s">
        <v>59</v>
      </c>
      <c r="G303" s="6"/>
      <c r="H303" s="7" t="s">
        <v>142</v>
      </c>
      <c r="I303" s="7" t="str">
        <f t="shared" si="59"/>
        <v>HITANO</v>
      </c>
      <c r="J303" s="7" t="str">
        <f t="shared" si="56"/>
        <v>150µF</v>
      </c>
      <c r="K303" s="7" t="str">
        <f t="shared" si="57"/>
        <v>63v</v>
      </c>
      <c r="L303" s="7" t="str">
        <f t="shared" si="58"/>
        <v>EXR</v>
      </c>
      <c r="M303" s="31">
        <f t="shared" si="49"/>
        <v>10</v>
      </c>
      <c r="N303" s="31">
        <f t="shared" si="50"/>
        <v>16</v>
      </c>
      <c r="O303" s="8" t="str">
        <f t="shared" si="51"/>
        <v>Hitano-EXR</v>
      </c>
      <c r="P303" s="12" t="str">
        <f t="shared" si="47"/>
        <v>Hitano R-10.0x16.0</v>
      </c>
      <c r="Q303" s="12" t="str">
        <f t="shared" si="52"/>
        <v>150µF</v>
      </c>
      <c r="R303" s="12" t="str">
        <f t="shared" si="53"/>
        <v>63v</v>
      </c>
      <c r="S303" s="8" t="str">
        <f t="shared" si="48"/>
        <v>150µF 63v - R10.0-16.0 Hitano (EXR)</v>
      </c>
      <c r="T303" s="8">
        <f t="shared" si="54"/>
        <v>1</v>
      </c>
      <c r="U303" s="8" t="b">
        <f>NOT(ISNA(MATCH($P303,Packages!$A:$A,0)))</f>
        <v>1</v>
      </c>
    </row>
    <row r="304" spans="1:21">
      <c r="A304" s="6" t="s">
        <v>49</v>
      </c>
      <c r="B304" s="6" t="s">
        <v>52</v>
      </c>
      <c r="C304" s="33">
        <v>220</v>
      </c>
      <c r="D304" s="34">
        <v>63</v>
      </c>
      <c r="E304" s="6" t="s">
        <v>75</v>
      </c>
      <c r="F304" s="6" t="s">
        <v>59</v>
      </c>
      <c r="G304" s="6"/>
      <c r="H304" s="7" t="s">
        <v>142</v>
      </c>
      <c r="I304" s="7" t="str">
        <f t="shared" si="59"/>
        <v>HITANO</v>
      </c>
      <c r="J304" s="7" t="str">
        <f t="shared" si="56"/>
        <v>220µF</v>
      </c>
      <c r="K304" s="7" t="str">
        <f t="shared" si="57"/>
        <v>63v</v>
      </c>
      <c r="L304" s="7" t="str">
        <f t="shared" si="58"/>
        <v>EXR</v>
      </c>
      <c r="M304" s="31">
        <f t="shared" si="49"/>
        <v>10</v>
      </c>
      <c r="N304" s="31">
        <f t="shared" si="50"/>
        <v>21</v>
      </c>
      <c r="O304" s="8" t="str">
        <f t="shared" si="51"/>
        <v>Hitano-EXR</v>
      </c>
      <c r="P304" s="12" t="str">
        <f t="shared" si="47"/>
        <v>Hitano R-10.0x21.0</v>
      </c>
      <c r="Q304" s="12" t="str">
        <f t="shared" si="52"/>
        <v>220µF</v>
      </c>
      <c r="R304" s="12" t="str">
        <f t="shared" si="53"/>
        <v>63v</v>
      </c>
      <c r="S304" s="8" t="str">
        <f t="shared" si="48"/>
        <v>220µF 63v - R10.0-21.0 Hitano (EXR)</v>
      </c>
      <c r="T304" s="8">
        <f t="shared" si="54"/>
        <v>1</v>
      </c>
      <c r="U304" s="8" t="b">
        <f>NOT(ISNA(MATCH($P304,Packages!$A:$A,0)))</f>
        <v>1</v>
      </c>
    </row>
    <row r="305" spans="1:21">
      <c r="A305" s="6" t="s">
        <v>49</v>
      </c>
      <c r="B305" s="6" t="s">
        <v>52</v>
      </c>
      <c r="C305" s="33">
        <v>330</v>
      </c>
      <c r="D305" s="34">
        <v>63</v>
      </c>
      <c r="E305" s="6" t="s">
        <v>76</v>
      </c>
      <c r="F305" s="6" t="s">
        <v>59</v>
      </c>
      <c r="G305" s="6"/>
      <c r="H305" s="7" t="s">
        <v>142</v>
      </c>
      <c r="I305" s="7" t="str">
        <f t="shared" si="59"/>
        <v>HITANO</v>
      </c>
      <c r="J305" s="7" t="str">
        <f t="shared" si="56"/>
        <v>330µF</v>
      </c>
      <c r="K305" s="7" t="str">
        <f t="shared" si="57"/>
        <v>63v</v>
      </c>
      <c r="L305" s="7" t="str">
        <f t="shared" si="58"/>
        <v>EXR</v>
      </c>
      <c r="M305" s="31">
        <f t="shared" si="49"/>
        <v>13</v>
      </c>
      <c r="N305" s="31">
        <f t="shared" si="50"/>
        <v>21</v>
      </c>
      <c r="O305" s="8" t="str">
        <f t="shared" si="51"/>
        <v>Hitano-EXR</v>
      </c>
      <c r="P305" s="12" t="str">
        <f t="shared" si="47"/>
        <v>Hitano R-13.0x21.0</v>
      </c>
      <c r="Q305" s="12" t="str">
        <f t="shared" si="52"/>
        <v>330µF</v>
      </c>
      <c r="R305" s="12" t="str">
        <f t="shared" si="53"/>
        <v>63v</v>
      </c>
      <c r="S305" s="8" t="str">
        <f t="shared" si="48"/>
        <v>330µF 63v - R13.0-21.0 Hitano (EXR)</v>
      </c>
      <c r="T305" s="8">
        <f t="shared" si="54"/>
        <v>1</v>
      </c>
      <c r="U305" s="8" t="b">
        <f>NOT(ISNA(MATCH($P305,Packages!$A:$A,0)))</f>
        <v>1</v>
      </c>
    </row>
    <row r="306" spans="1:21">
      <c r="A306" s="6" t="s">
        <v>49</v>
      </c>
      <c r="B306" s="6" t="s">
        <v>52</v>
      </c>
      <c r="C306" s="33">
        <v>470</v>
      </c>
      <c r="D306" s="34">
        <v>63</v>
      </c>
      <c r="E306" s="6" t="s">
        <v>77</v>
      </c>
      <c r="F306" s="6" t="s">
        <v>59</v>
      </c>
      <c r="G306" s="6"/>
      <c r="H306" s="7" t="s">
        <v>142</v>
      </c>
      <c r="I306" s="7" t="str">
        <f t="shared" si="59"/>
        <v>HITANO</v>
      </c>
      <c r="J306" s="7" t="str">
        <f t="shared" si="56"/>
        <v>470µF</v>
      </c>
      <c r="K306" s="7" t="str">
        <f t="shared" si="57"/>
        <v>63v</v>
      </c>
      <c r="L306" s="7" t="str">
        <f t="shared" si="58"/>
        <v>EXR</v>
      </c>
      <c r="M306" s="31">
        <f t="shared" si="49"/>
        <v>13</v>
      </c>
      <c r="N306" s="31">
        <f t="shared" si="50"/>
        <v>26</v>
      </c>
      <c r="O306" s="8" t="str">
        <f t="shared" si="51"/>
        <v>Hitano-EXR</v>
      </c>
      <c r="P306" s="12" t="str">
        <f t="shared" si="47"/>
        <v>Hitano R-13.0x26.0</v>
      </c>
      <c r="Q306" s="12" t="str">
        <f t="shared" si="52"/>
        <v>470µF</v>
      </c>
      <c r="R306" s="12" t="str">
        <f t="shared" si="53"/>
        <v>63v</v>
      </c>
      <c r="S306" s="8" t="str">
        <f t="shared" si="48"/>
        <v>470µF 63v - R13.0-26.0 Hitano (EXR)</v>
      </c>
      <c r="T306" s="8">
        <f t="shared" si="54"/>
        <v>1</v>
      </c>
      <c r="U306" s="8" t="b">
        <f>NOT(ISNA(MATCH($P306,Packages!$A:$A,0)))</f>
        <v>1</v>
      </c>
    </row>
    <row r="307" spans="1:21">
      <c r="A307" s="6" t="s">
        <v>49</v>
      </c>
      <c r="B307" s="6" t="s">
        <v>52</v>
      </c>
      <c r="C307" s="33">
        <v>680</v>
      </c>
      <c r="D307" s="34">
        <v>63</v>
      </c>
      <c r="E307" s="6" t="s">
        <v>78</v>
      </c>
      <c r="F307" s="6" t="s">
        <v>59</v>
      </c>
      <c r="G307" s="6"/>
      <c r="H307" s="7" t="s">
        <v>142</v>
      </c>
      <c r="I307" s="7" t="str">
        <f t="shared" si="59"/>
        <v>HITANO</v>
      </c>
      <c r="J307" s="7" t="str">
        <f t="shared" si="56"/>
        <v>680µF</v>
      </c>
      <c r="K307" s="7" t="str">
        <f t="shared" si="57"/>
        <v>63v</v>
      </c>
      <c r="L307" s="7" t="str">
        <f t="shared" si="58"/>
        <v>EXR</v>
      </c>
      <c r="M307" s="31">
        <f t="shared" si="49"/>
        <v>16</v>
      </c>
      <c r="N307" s="31">
        <f t="shared" si="50"/>
        <v>26</v>
      </c>
      <c r="O307" s="8" t="str">
        <f t="shared" si="51"/>
        <v>Hitano-EXR</v>
      </c>
      <c r="P307" s="12" t="str">
        <f t="shared" si="47"/>
        <v>Hitano R-16.0x26.0</v>
      </c>
      <c r="Q307" s="12" t="str">
        <f t="shared" si="52"/>
        <v>680µF</v>
      </c>
      <c r="R307" s="12" t="str">
        <f t="shared" si="53"/>
        <v>63v</v>
      </c>
      <c r="S307" s="8" t="str">
        <f t="shared" si="48"/>
        <v>680µF 63v - R16.0-26.0 Hitano (EXR)</v>
      </c>
      <c r="T307" s="8">
        <f t="shared" si="54"/>
        <v>1</v>
      </c>
      <c r="U307" s="8" t="b">
        <f>NOT(ISNA(MATCH($P307,Packages!$A:$A,0)))</f>
        <v>1</v>
      </c>
    </row>
    <row r="308" spans="1:21">
      <c r="A308" s="6" t="s">
        <v>49</v>
      </c>
      <c r="B308" s="6" t="s">
        <v>52</v>
      </c>
      <c r="C308" s="33">
        <v>1000</v>
      </c>
      <c r="D308" s="34">
        <v>63</v>
      </c>
      <c r="E308" s="6" t="s">
        <v>98</v>
      </c>
      <c r="F308" s="6" t="s">
        <v>59</v>
      </c>
      <c r="G308" s="6"/>
      <c r="H308" s="7" t="s">
        <v>142</v>
      </c>
      <c r="I308" s="7" t="str">
        <f t="shared" si="59"/>
        <v>HITANO</v>
      </c>
      <c r="J308" s="7" t="str">
        <f t="shared" si="56"/>
        <v>1000µF</v>
      </c>
      <c r="K308" s="7" t="str">
        <f t="shared" si="57"/>
        <v>63v</v>
      </c>
      <c r="L308" s="7" t="str">
        <f t="shared" si="58"/>
        <v>EXR</v>
      </c>
      <c r="M308" s="31">
        <f t="shared" si="49"/>
        <v>16</v>
      </c>
      <c r="N308" s="31">
        <f t="shared" si="50"/>
        <v>31.5</v>
      </c>
      <c r="O308" s="8" t="str">
        <f t="shared" si="51"/>
        <v>Hitano-EXR</v>
      </c>
      <c r="P308" s="12" t="str">
        <f t="shared" si="47"/>
        <v>Hitano R-16.0x32.0</v>
      </c>
      <c r="Q308" s="12" t="str">
        <f t="shared" si="52"/>
        <v>1000µF</v>
      </c>
      <c r="R308" s="12" t="str">
        <f t="shared" si="53"/>
        <v>63v</v>
      </c>
      <c r="S308" s="8" t="str">
        <f t="shared" si="48"/>
        <v>1000µF 63v - R16.0-31.5 Hitano (EXR)</v>
      </c>
      <c r="T308" s="8">
        <f t="shared" si="54"/>
        <v>1</v>
      </c>
      <c r="U308" s="8" t="b">
        <f>NOT(ISNA(MATCH($P308,Packages!$A:$A,0)))</f>
        <v>1</v>
      </c>
    </row>
    <row r="309" spans="1:21">
      <c r="A309" s="6" t="s">
        <v>49</v>
      </c>
      <c r="B309" s="6" t="s">
        <v>52</v>
      </c>
      <c r="C309" s="33">
        <v>1500</v>
      </c>
      <c r="D309" s="34">
        <v>63</v>
      </c>
      <c r="E309" s="6" t="s">
        <v>80</v>
      </c>
      <c r="F309" s="6" t="s">
        <v>59</v>
      </c>
      <c r="G309" s="6"/>
      <c r="H309" s="7" t="s">
        <v>142</v>
      </c>
      <c r="I309" s="7" t="str">
        <f t="shared" si="59"/>
        <v>HITANO</v>
      </c>
      <c r="J309" s="7" t="str">
        <f t="shared" si="56"/>
        <v>1500µF</v>
      </c>
      <c r="K309" s="7" t="str">
        <f t="shared" si="57"/>
        <v>63v</v>
      </c>
      <c r="L309" s="7" t="str">
        <f t="shared" si="58"/>
        <v>EXR</v>
      </c>
      <c r="M309" s="31">
        <f t="shared" si="49"/>
        <v>18</v>
      </c>
      <c r="N309" s="31">
        <f t="shared" si="50"/>
        <v>36</v>
      </c>
      <c r="O309" s="8" t="str">
        <f t="shared" si="51"/>
        <v>Hitano-EXR</v>
      </c>
      <c r="P309" s="12" t="str">
        <f t="shared" si="47"/>
        <v>Hitano R-18.0x36.0</v>
      </c>
      <c r="Q309" s="12" t="str">
        <f t="shared" si="52"/>
        <v>1500µF</v>
      </c>
      <c r="R309" s="12" t="str">
        <f t="shared" si="53"/>
        <v>63v</v>
      </c>
      <c r="S309" s="8" t="str">
        <f t="shared" si="48"/>
        <v>1500µF 63v - R18.0-36.0 Hitano (EXR)</v>
      </c>
      <c r="T309" s="8">
        <f t="shared" si="54"/>
        <v>1</v>
      </c>
      <c r="U309" s="8" t="b">
        <f>NOT(ISNA(MATCH($P309,Packages!$A:$A,0)))</f>
        <v>1</v>
      </c>
    </row>
    <row r="310" spans="1:21">
      <c r="A310" s="6" t="s">
        <v>49</v>
      </c>
      <c r="B310" s="6" t="s">
        <v>52</v>
      </c>
      <c r="C310" s="33">
        <v>2200</v>
      </c>
      <c r="D310" s="34">
        <v>63</v>
      </c>
      <c r="E310" s="6" t="s">
        <v>84</v>
      </c>
      <c r="F310" s="6" t="s">
        <v>59</v>
      </c>
      <c r="G310" s="6"/>
      <c r="H310" s="7" t="s">
        <v>142</v>
      </c>
      <c r="I310" s="7" t="str">
        <f t="shared" si="59"/>
        <v>HITANO</v>
      </c>
      <c r="J310" s="7" t="str">
        <f t="shared" si="56"/>
        <v>2200µF</v>
      </c>
      <c r="K310" s="7" t="str">
        <f t="shared" si="57"/>
        <v>63v</v>
      </c>
      <c r="L310" s="7" t="str">
        <f t="shared" si="58"/>
        <v>EXR</v>
      </c>
      <c r="M310" s="31">
        <f t="shared" si="49"/>
        <v>18</v>
      </c>
      <c r="N310" s="31">
        <f t="shared" si="50"/>
        <v>41</v>
      </c>
      <c r="O310" s="8" t="str">
        <f t="shared" si="51"/>
        <v>Hitano-EXR</v>
      </c>
      <c r="P310" s="12" t="str">
        <f t="shared" si="47"/>
        <v>Hitano R-18.0x41.0</v>
      </c>
      <c r="Q310" s="12" t="str">
        <f t="shared" si="52"/>
        <v>2200µF</v>
      </c>
      <c r="R310" s="12" t="str">
        <f t="shared" si="53"/>
        <v>63v</v>
      </c>
      <c r="S310" s="8" t="str">
        <f t="shared" si="48"/>
        <v>2200µF 63v - R18.0-41.0 Hitano (EXR)</v>
      </c>
      <c r="T310" s="8">
        <f t="shared" si="54"/>
        <v>1</v>
      </c>
      <c r="U310" s="8" t="b">
        <f>NOT(ISNA(MATCH($P310,Packages!$A:$A,0)))</f>
        <v>1</v>
      </c>
    </row>
    <row r="311" spans="1:21">
      <c r="A311" s="6" t="s">
        <v>49</v>
      </c>
      <c r="B311" s="6" t="s">
        <v>52</v>
      </c>
      <c r="C311" s="33">
        <v>4.7</v>
      </c>
      <c r="D311" s="34">
        <v>100</v>
      </c>
      <c r="E311" s="6" t="s">
        <v>68</v>
      </c>
      <c r="F311" s="6" t="s">
        <v>59</v>
      </c>
      <c r="G311" s="6"/>
      <c r="H311" s="7" t="s">
        <v>142</v>
      </c>
      <c r="I311" s="7" t="str">
        <f t="shared" si="59"/>
        <v>HITANO</v>
      </c>
      <c r="J311" s="7" t="str">
        <f t="shared" si="56"/>
        <v>4.7µF</v>
      </c>
      <c r="K311" s="7" t="str">
        <f t="shared" si="57"/>
        <v>100v</v>
      </c>
      <c r="L311" s="7" t="str">
        <f t="shared" si="58"/>
        <v>EXR</v>
      </c>
      <c r="M311" s="31">
        <f t="shared" si="49"/>
        <v>5</v>
      </c>
      <c r="N311" s="31">
        <f t="shared" si="50"/>
        <v>11</v>
      </c>
      <c r="O311" s="8" t="str">
        <f t="shared" si="51"/>
        <v>Hitano-EXR</v>
      </c>
      <c r="P311" s="12" t="str">
        <f t="shared" si="47"/>
        <v>Hitano R-05.0x11.0</v>
      </c>
      <c r="Q311" s="12" t="str">
        <f t="shared" si="52"/>
        <v>4.7µF</v>
      </c>
      <c r="R311" s="12" t="str">
        <f t="shared" si="53"/>
        <v>100v</v>
      </c>
      <c r="S311" s="8" t="str">
        <f t="shared" si="48"/>
        <v>4.7µF 100v - R05.0-11.0 Hitano (EXR)</v>
      </c>
      <c r="T311" s="8">
        <f t="shared" si="54"/>
        <v>1</v>
      </c>
      <c r="U311" s="8" t="b">
        <f>NOT(ISNA(MATCH($P311,Packages!$A:$A,0)))</f>
        <v>1</v>
      </c>
    </row>
    <row r="312" spans="1:21">
      <c r="A312" s="6" t="s">
        <v>49</v>
      </c>
      <c r="B312" s="6" t="s">
        <v>52</v>
      </c>
      <c r="C312" s="33">
        <v>10</v>
      </c>
      <c r="D312" s="34">
        <v>100</v>
      </c>
      <c r="E312" s="6" t="s">
        <v>69</v>
      </c>
      <c r="F312" s="6" t="s">
        <v>59</v>
      </c>
      <c r="G312" s="6"/>
      <c r="H312" s="7" t="s">
        <v>142</v>
      </c>
      <c r="I312" s="7" t="str">
        <f t="shared" si="59"/>
        <v>HITANO</v>
      </c>
      <c r="J312" s="7" t="str">
        <f t="shared" si="56"/>
        <v>10µF</v>
      </c>
      <c r="K312" s="7" t="str">
        <f t="shared" si="57"/>
        <v>100v</v>
      </c>
      <c r="L312" s="7" t="str">
        <f t="shared" si="58"/>
        <v>EXR</v>
      </c>
      <c r="M312" s="31">
        <f t="shared" si="49"/>
        <v>6.3</v>
      </c>
      <c r="N312" s="31">
        <f t="shared" si="50"/>
        <v>11</v>
      </c>
      <c r="O312" s="8" t="str">
        <f t="shared" si="51"/>
        <v>Hitano-EXR</v>
      </c>
      <c r="P312" s="12" t="str">
        <f t="shared" si="47"/>
        <v>Hitano R-06.0x11.0</v>
      </c>
      <c r="Q312" s="12" t="str">
        <f t="shared" si="52"/>
        <v>10µF</v>
      </c>
      <c r="R312" s="12" t="str">
        <f t="shared" si="53"/>
        <v>100v</v>
      </c>
      <c r="S312" s="8" t="str">
        <f t="shared" si="48"/>
        <v>10µF 100v - R06.3-11.0 Hitano (EXR)</v>
      </c>
      <c r="T312" s="8">
        <f t="shared" si="54"/>
        <v>1</v>
      </c>
      <c r="U312" s="8" t="b">
        <f>NOT(ISNA(MATCH($P312,Packages!$A:$A,0)))</f>
        <v>1</v>
      </c>
    </row>
    <row r="313" spans="1:21">
      <c r="A313" s="6" t="s">
        <v>49</v>
      </c>
      <c r="B313" s="6" t="s">
        <v>52</v>
      </c>
      <c r="C313" s="33">
        <v>22</v>
      </c>
      <c r="D313" s="34">
        <v>100</v>
      </c>
      <c r="E313" s="6" t="s">
        <v>71</v>
      </c>
      <c r="F313" s="6" t="s">
        <v>59</v>
      </c>
      <c r="G313" s="6"/>
      <c r="H313" s="7" t="s">
        <v>142</v>
      </c>
      <c r="I313" s="7" t="str">
        <f t="shared" si="59"/>
        <v>HITANO</v>
      </c>
      <c r="J313" s="7" t="str">
        <f t="shared" si="56"/>
        <v>22µF</v>
      </c>
      <c r="K313" s="7" t="str">
        <f t="shared" si="57"/>
        <v>100v</v>
      </c>
      <c r="L313" s="7" t="str">
        <f t="shared" si="58"/>
        <v>EXR</v>
      </c>
      <c r="M313" s="31">
        <f t="shared" si="49"/>
        <v>8</v>
      </c>
      <c r="N313" s="31">
        <f t="shared" si="50"/>
        <v>12</v>
      </c>
      <c r="O313" s="8" t="str">
        <f t="shared" si="51"/>
        <v>Hitano-EXR</v>
      </c>
      <c r="P313" s="12" t="str">
        <f t="shared" si="47"/>
        <v>Hitano R-08.0x12.0</v>
      </c>
      <c r="Q313" s="12" t="str">
        <f t="shared" si="52"/>
        <v>22µF</v>
      </c>
      <c r="R313" s="12" t="str">
        <f t="shared" si="53"/>
        <v>100v</v>
      </c>
      <c r="S313" s="8" t="str">
        <f t="shared" si="48"/>
        <v>22µF 100v - R08.0-12.0 Hitano (EXR)</v>
      </c>
      <c r="T313" s="8">
        <f t="shared" si="54"/>
        <v>1</v>
      </c>
      <c r="U313" s="8" t="b">
        <f>NOT(ISNA(MATCH($P313,Packages!$A:$A,0)))</f>
        <v>1</v>
      </c>
    </row>
    <row r="314" spans="1:21">
      <c r="A314" s="6" t="s">
        <v>49</v>
      </c>
      <c r="B314" s="6" t="s">
        <v>52</v>
      </c>
      <c r="C314" s="33">
        <v>33</v>
      </c>
      <c r="D314" s="34">
        <v>100</v>
      </c>
      <c r="E314" s="6" t="s">
        <v>74</v>
      </c>
      <c r="F314" s="6" t="s">
        <v>59</v>
      </c>
      <c r="G314" s="6"/>
      <c r="H314" s="7" t="s">
        <v>142</v>
      </c>
      <c r="I314" s="7" t="str">
        <f t="shared" si="59"/>
        <v>HITANO</v>
      </c>
      <c r="J314" s="7" t="str">
        <f t="shared" si="56"/>
        <v>33µF</v>
      </c>
      <c r="K314" s="7" t="str">
        <f t="shared" si="57"/>
        <v>100v</v>
      </c>
      <c r="L314" s="7" t="str">
        <f t="shared" si="58"/>
        <v>EXR</v>
      </c>
      <c r="M314" s="31">
        <f t="shared" si="49"/>
        <v>10</v>
      </c>
      <c r="N314" s="31">
        <f t="shared" si="50"/>
        <v>16</v>
      </c>
      <c r="O314" s="8" t="str">
        <f t="shared" si="51"/>
        <v>Hitano-EXR</v>
      </c>
      <c r="P314" s="12" t="str">
        <f t="shared" si="47"/>
        <v>Hitano R-10.0x16.0</v>
      </c>
      <c r="Q314" s="12" t="str">
        <f t="shared" si="52"/>
        <v>33µF</v>
      </c>
      <c r="R314" s="12" t="str">
        <f t="shared" si="53"/>
        <v>100v</v>
      </c>
      <c r="S314" s="8" t="str">
        <f t="shared" si="48"/>
        <v>33µF 100v - R10.0-16.0 Hitano (EXR)</v>
      </c>
      <c r="T314" s="8">
        <f t="shared" si="54"/>
        <v>1</v>
      </c>
      <c r="U314" s="8" t="b">
        <f>NOT(ISNA(MATCH($P314,Packages!$A:$A,0)))</f>
        <v>1</v>
      </c>
    </row>
    <row r="315" spans="1:21">
      <c r="A315" s="6" t="s">
        <v>49</v>
      </c>
      <c r="B315" s="6" t="s">
        <v>52</v>
      </c>
      <c r="C315" s="33">
        <v>47</v>
      </c>
      <c r="D315" s="34">
        <v>100</v>
      </c>
      <c r="E315" s="6" t="s">
        <v>74</v>
      </c>
      <c r="F315" s="6" t="s">
        <v>59</v>
      </c>
      <c r="G315" s="6"/>
      <c r="H315" s="7" t="s">
        <v>142</v>
      </c>
      <c r="I315" s="7" t="str">
        <f t="shared" si="59"/>
        <v>HITANO</v>
      </c>
      <c r="J315" s="7" t="str">
        <f t="shared" si="56"/>
        <v>47µF</v>
      </c>
      <c r="K315" s="7" t="str">
        <f t="shared" si="57"/>
        <v>100v</v>
      </c>
      <c r="L315" s="7" t="str">
        <f t="shared" si="58"/>
        <v>EXR</v>
      </c>
      <c r="M315" s="31">
        <f t="shared" si="49"/>
        <v>10</v>
      </c>
      <c r="N315" s="31">
        <f t="shared" si="50"/>
        <v>16</v>
      </c>
      <c r="O315" s="8" t="str">
        <f t="shared" si="51"/>
        <v>Hitano-EXR</v>
      </c>
      <c r="P315" s="12" t="str">
        <f t="shared" si="47"/>
        <v>Hitano R-10.0x16.0</v>
      </c>
      <c r="Q315" s="12" t="str">
        <f t="shared" si="52"/>
        <v>47µF</v>
      </c>
      <c r="R315" s="12" t="str">
        <f t="shared" si="53"/>
        <v>100v</v>
      </c>
      <c r="S315" s="8" t="str">
        <f t="shared" si="48"/>
        <v>47µF 100v - R10.0-16.0 Hitano (EXR)</v>
      </c>
      <c r="T315" s="8">
        <f t="shared" si="54"/>
        <v>1</v>
      </c>
      <c r="U315" s="8" t="b">
        <f>NOT(ISNA(MATCH($P315,Packages!$A:$A,0)))</f>
        <v>1</v>
      </c>
    </row>
    <row r="316" spans="1:21">
      <c r="A316" s="6" t="s">
        <v>49</v>
      </c>
      <c r="B316" s="6" t="s">
        <v>52</v>
      </c>
      <c r="C316" s="33">
        <v>68</v>
      </c>
      <c r="D316" s="34">
        <v>100</v>
      </c>
      <c r="E316" s="6" t="s">
        <v>75</v>
      </c>
      <c r="F316" s="6" t="s">
        <v>59</v>
      </c>
      <c r="G316" s="6"/>
      <c r="H316" s="7" t="s">
        <v>142</v>
      </c>
      <c r="I316" s="7" t="str">
        <f t="shared" si="59"/>
        <v>HITANO</v>
      </c>
      <c r="J316" s="7" t="str">
        <f t="shared" si="56"/>
        <v>68µF</v>
      </c>
      <c r="K316" s="7" t="str">
        <f t="shared" si="57"/>
        <v>100v</v>
      </c>
      <c r="L316" s="7" t="str">
        <f t="shared" si="58"/>
        <v>EXR</v>
      </c>
      <c r="M316" s="31">
        <f t="shared" si="49"/>
        <v>10</v>
      </c>
      <c r="N316" s="31">
        <f t="shared" si="50"/>
        <v>21</v>
      </c>
      <c r="O316" s="8" t="str">
        <f t="shared" si="51"/>
        <v>Hitano-EXR</v>
      </c>
      <c r="P316" s="12" t="str">
        <f t="shared" si="47"/>
        <v>Hitano R-10.0x21.0</v>
      </c>
      <c r="Q316" s="12" t="str">
        <f t="shared" si="52"/>
        <v>68µF</v>
      </c>
      <c r="R316" s="12" t="str">
        <f t="shared" si="53"/>
        <v>100v</v>
      </c>
      <c r="S316" s="8" t="str">
        <f t="shared" si="48"/>
        <v>68µF 100v - R10.0-21.0 Hitano (EXR)</v>
      </c>
      <c r="T316" s="8">
        <f t="shared" si="54"/>
        <v>1</v>
      </c>
      <c r="U316" s="8" t="b">
        <f>NOT(ISNA(MATCH($P316,Packages!$A:$A,0)))</f>
        <v>1</v>
      </c>
    </row>
    <row r="317" spans="1:21">
      <c r="A317" s="6" t="s">
        <v>49</v>
      </c>
      <c r="B317" s="6" t="s">
        <v>52</v>
      </c>
      <c r="C317" s="33">
        <v>100</v>
      </c>
      <c r="D317" s="34">
        <v>100</v>
      </c>
      <c r="E317" s="6" t="s">
        <v>76</v>
      </c>
      <c r="F317" s="6" t="s">
        <v>59</v>
      </c>
      <c r="G317" s="6"/>
      <c r="H317" s="7" t="s">
        <v>142</v>
      </c>
      <c r="I317" s="7" t="str">
        <f t="shared" si="59"/>
        <v>HITANO</v>
      </c>
      <c r="J317" s="7" t="str">
        <f t="shared" si="56"/>
        <v>100µF</v>
      </c>
      <c r="K317" s="7" t="str">
        <f t="shared" si="57"/>
        <v>100v</v>
      </c>
      <c r="L317" s="7" t="str">
        <f t="shared" si="58"/>
        <v>EXR</v>
      </c>
      <c r="M317" s="31">
        <f t="shared" si="49"/>
        <v>13</v>
      </c>
      <c r="N317" s="31">
        <f t="shared" si="50"/>
        <v>21</v>
      </c>
      <c r="O317" s="8" t="str">
        <f t="shared" si="51"/>
        <v>Hitano-EXR</v>
      </c>
      <c r="P317" s="12" t="str">
        <f t="shared" si="47"/>
        <v>Hitano R-13.0x21.0</v>
      </c>
      <c r="Q317" s="12" t="str">
        <f t="shared" si="52"/>
        <v>100µF</v>
      </c>
      <c r="R317" s="12" t="str">
        <f t="shared" si="53"/>
        <v>100v</v>
      </c>
      <c r="S317" s="8" t="str">
        <f t="shared" si="48"/>
        <v>100µF 100v - R13.0-21.0 Hitano (EXR)</v>
      </c>
      <c r="T317" s="8">
        <f t="shared" si="54"/>
        <v>1</v>
      </c>
      <c r="U317" s="8" t="b">
        <f>NOT(ISNA(MATCH($P317,Packages!$A:$A,0)))</f>
        <v>1</v>
      </c>
    </row>
    <row r="318" spans="1:21">
      <c r="A318" s="6" t="s">
        <v>49</v>
      </c>
      <c r="B318" s="6" t="s">
        <v>52</v>
      </c>
      <c r="C318" s="33">
        <v>150</v>
      </c>
      <c r="D318" s="34">
        <v>100</v>
      </c>
      <c r="E318" s="6" t="s">
        <v>76</v>
      </c>
      <c r="F318" s="6" t="s">
        <v>59</v>
      </c>
      <c r="G318" s="6"/>
      <c r="H318" s="7" t="s">
        <v>142</v>
      </c>
      <c r="I318" s="7" t="str">
        <f t="shared" si="59"/>
        <v>HITANO</v>
      </c>
      <c r="J318" s="7" t="str">
        <f t="shared" si="56"/>
        <v>150µF</v>
      </c>
      <c r="K318" s="7" t="str">
        <f t="shared" si="57"/>
        <v>100v</v>
      </c>
      <c r="L318" s="7" t="str">
        <f t="shared" si="58"/>
        <v>EXR</v>
      </c>
      <c r="M318" s="31">
        <f t="shared" si="49"/>
        <v>13</v>
      </c>
      <c r="N318" s="31">
        <f t="shared" si="50"/>
        <v>21</v>
      </c>
      <c r="O318" s="8" t="str">
        <f t="shared" si="51"/>
        <v>Hitano-EXR</v>
      </c>
      <c r="P318" s="12" t="str">
        <f t="shared" si="47"/>
        <v>Hitano R-13.0x21.0</v>
      </c>
      <c r="Q318" s="12" t="str">
        <f t="shared" si="52"/>
        <v>150µF</v>
      </c>
      <c r="R318" s="12" t="str">
        <f t="shared" si="53"/>
        <v>100v</v>
      </c>
      <c r="S318" s="8" t="str">
        <f t="shared" si="48"/>
        <v>150µF 100v - R13.0-21.0 Hitano (EXR)</v>
      </c>
      <c r="T318" s="8">
        <f t="shared" si="54"/>
        <v>1</v>
      </c>
      <c r="U318" s="8" t="b">
        <f>NOT(ISNA(MATCH($P318,Packages!$A:$A,0)))</f>
        <v>1</v>
      </c>
    </row>
    <row r="319" spans="1:21">
      <c r="A319" s="6" t="s">
        <v>49</v>
      </c>
      <c r="B319" s="6" t="s">
        <v>52</v>
      </c>
      <c r="C319" s="33">
        <v>220</v>
      </c>
      <c r="D319" s="34">
        <v>100</v>
      </c>
      <c r="E319" s="6" t="s">
        <v>78</v>
      </c>
      <c r="F319" s="6" t="s">
        <v>59</v>
      </c>
      <c r="G319" s="6"/>
      <c r="H319" s="7" t="s">
        <v>142</v>
      </c>
      <c r="I319" s="7" t="str">
        <f t="shared" si="59"/>
        <v>HITANO</v>
      </c>
      <c r="J319" s="7" t="str">
        <f t="shared" si="56"/>
        <v>220µF</v>
      </c>
      <c r="K319" s="7" t="str">
        <f t="shared" si="57"/>
        <v>100v</v>
      </c>
      <c r="L319" s="7" t="str">
        <f t="shared" si="58"/>
        <v>EXR</v>
      </c>
      <c r="M319" s="31">
        <f t="shared" si="49"/>
        <v>16</v>
      </c>
      <c r="N319" s="31">
        <f t="shared" si="50"/>
        <v>26</v>
      </c>
      <c r="O319" s="8" t="str">
        <f t="shared" si="51"/>
        <v>Hitano-EXR</v>
      </c>
      <c r="P319" s="12" t="str">
        <f t="shared" si="47"/>
        <v>Hitano R-16.0x26.0</v>
      </c>
      <c r="Q319" s="12" t="str">
        <f t="shared" si="52"/>
        <v>220µF</v>
      </c>
      <c r="R319" s="12" t="str">
        <f t="shared" si="53"/>
        <v>100v</v>
      </c>
      <c r="S319" s="8" t="str">
        <f t="shared" si="48"/>
        <v>220µF 100v - R16.0-26.0 Hitano (EXR)</v>
      </c>
      <c r="T319" s="8">
        <f t="shared" si="54"/>
        <v>1</v>
      </c>
      <c r="U319" s="8" t="b">
        <f>NOT(ISNA(MATCH($P319,Packages!$A:$A,0)))</f>
        <v>1</v>
      </c>
    </row>
    <row r="320" spans="1:21">
      <c r="A320" s="6" t="s">
        <v>49</v>
      </c>
      <c r="B320" s="6" t="s">
        <v>52</v>
      </c>
      <c r="C320" s="33">
        <v>330</v>
      </c>
      <c r="D320" s="34">
        <v>100</v>
      </c>
      <c r="E320" s="6" t="s">
        <v>98</v>
      </c>
      <c r="F320" s="6" t="s">
        <v>59</v>
      </c>
      <c r="G320" s="6"/>
      <c r="H320" s="7" t="s">
        <v>142</v>
      </c>
      <c r="I320" s="7" t="str">
        <f t="shared" si="59"/>
        <v>HITANO</v>
      </c>
      <c r="J320" s="7" t="str">
        <f t="shared" si="56"/>
        <v>330µF</v>
      </c>
      <c r="K320" s="7" t="str">
        <f t="shared" si="57"/>
        <v>100v</v>
      </c>
      <c r="L320" s="7" t="str">
        <f t="shared" si="58"/>
        <v>EXR</v>
      </c>
      <c r="M320" s="31">
        <f t="shared" si="49"/>
        <v>16</v>
      </c>
      <c r="N320" s="31">
        <f t="shared" si="50"/>
        <v>31.5</v>
      </c>
      <c r="O320" s="8" t="str">
        <f t="shared" si="51"/>
        <v>Hitano-EXR</v>
      </c>
      <c r="P320" s="12" t="str">
        <f t="shared" si="47"/>
        <v>Hitano R-16.0x32.0</v>
      </c>
      <c r="Q320" s="12" t="str">
        <f t="shared" si="52"/>
        <v>330µF</v>
      </c>
      <c r="R320" s="12" t="str">
        <f t="shared" si="53"/>
        <v>100v</v>
      </c>
      <c r="S320" s="8" t="str">
        <f t="shared" si="48"/>
        <v>330µF 100v - R16.0-31.5 Hitano (EXR)</v>
      </c>
      <c r="T320" s="8">
        <f t="shared" si="54"/>
        <v>1</v>
      </c>
      <c r="U320" s="8" t="b">
        <f>NOT(ISNA(MATCH($P320,Packages!$A:$A,0)))</f>
        <v>1</v>
      </c>
    </row>
    <row r="321" spans="1:21">
      <c r="A321" s="6" t="s">
        <v>49</v>
      </c>
      <c r="B321" s="6" t="s">
        <v>52</v>
      </c>
      <c r="C321" s="33">
        <v>470</v>
      </c>
      <c r="D321" s="34">
        <v>100</v>
      </c>
      <c r="E321" s="6" t="s">
        <v>114</v>
      </c>
      <c r="F321" s="6" t="s">
        <v>59</v>
      </c>
      <c r="G321" s="6"/>
      <c r="H321" s="7" t="s">
        <v>142</v>
      </c>
      <c r="I321" s="7" t="str">
        <f t="shared" si="59"/>
        <v>HITANO</v>
      </c>
      <c r="J321" s="7" t="str">
        <f t="shared" si="56"/>
        <v>470µF</v>
      </c>
      <c r="K321" s="7" t="str">
        <f t="shared" si="57"/>
        <v>100v</v>
      </c>
      <c r="L321" s="7" t="str">
        <f t="shared" si="58"/>
        <v>EXR</v>
      </c>
      <c r="M321" s="31">
        <f t="shared" si="49"/>
        <v>18</v>
      </c>
      <c r="N321" s="31">
        <f t="shared" si="50"/>
        <v>32</v>
      </c>
      <c r="O321" s="8" t="str">
        <f t="shared" si="51"/>
        <v>Hitano-EXR</v>
      </c>
      <c r="P321" s="12" t="str">
        <f t="shared" si="47"/>
        <v>Hitano R-18.0x32.0</v>
      </c>
      <c r="Q321" s="12" t="str">
        <f t="shared" si="52"/>
        <v>470µF</v>
      </c>
      <c r="R321" s="12" t="str">
        <f t="shared" si="53"/>
        <v>100v</v>
      </c>
      <c r="S321" s="8" t="str">
        <f t="shared" si="48"/>
        <v>470µF 100v - R18.0-32.0 Hitano (EXR)</v>
      </c>
      <c r="T321" s="8">
        <f t="shared" si="54"/>
        <v>1</v>
      </c>
      <c r="U321" s="8" t="b">
        <f>NOT(ISNA(MATCH($P321,Packages!$A:$A,0)))</f>
        <v>1</v>
      </c>
    </row>
    <row r="322" spans="1:21">
      <c r="A322" s="6" t="s">
        <v>49</v>
      </c>
      <c r="B322" s="6" t="s">
        <v>52</v>
      </c>
      <c r="C322" s="33">
        <v>680</v>
      </c>
      <c r="D322" s="34">
        <v>100</v>
      </c>
      <c r="E322" s="6" t="s">
        <v>80</v>
      </c>
      <c r="F322" s="6" t="s">
        <v>59</v>
      </c>
      <c r="G322" s="6"/>
      <c r="H322" s="7" t="s">
        <v>142</v>
      </c>
      <c r="I322" s="7" t="str">
        <f t="shared" si="59"/>
        <v>HITANO</v>
      </c>
      <c r="J322" s="7" t="str">
        <f t="shared" si="56"/>
        <v>680µF</v>
      </c>
      <c r="K322" s="7" t="str">
        <f t="shared" si="57"/>
        <v>100v</v>
      </c>
      <c r="L322" s="7" t="str">
        <f t="shared" si="58"/>
        <v>EXR</v>
      </c>
      <c r="M322" s="31">
        <f t="shared" si="49"/>
        <v>18</v>
      </c>
      <c r="N322" s="31">
        <f t="shared" si="50"/>
        <v>36</v>
      </c>
      <c r="O322" s="8" t="str">
        <f t="shared" si="51"/>
        <v>Hitano-EXR</v>
      </c>
      <c r="P322" s="12" t="str">
        <f t="shared" ref="P322:P385" si="60">$A322&amp;" "&amp;LEFT($F322,1)&amp;"-"&amp;TEXT(ROUND($M322,0),"00.0")&amp;"x"&amp;TEXT(ROUND($N322,0),"00.0")</f>
        <v>Hitano R-18.0x36.0</v>
      </c>
      <c r="Q322" s="12" t="str">
        <f t="shared" si="52"/>
        <v>680µF</v>
      </c>
      <c r="R322" s="12" t="str">
        <f t="shared" si="53"/>
        <v>100v</v>
      </c>
      <c r="S322" s="8" t="str">
        <f t="shared" ref="S322:S385" si="61">$Q322&amp;" "&amp;$R322&amp;" - "&amp;LEFT($F322,1)&amp;TEXT($M322,"00.0")&amp;"-"&amp;TEXT($N322,"00.0")&amp;" "&amp;A322&amp;" ("&amp;B322&amp;")"&amp;IF(ISBLANK($G322),""," "&amp;$G322)</f>
        <v>680µF 100v - R18.0-36.0 Hitano (EXR)</v>
      </c>
      <c r="T322" s="8">
        <f t="shared" si="54"/>
        <v>1</v>
      </c>
      <c r="U322" s="8" t="b">
        <f>NOT(ISNA(MATCH($P322,Packages!$A:$A,0)))</f>
        <v>1</v>
      </c>
    </row>
    <row r="323" spans="1:21">
      <c r="A323" s="6" t="s">
        <v>49</v>
      </c>
      <c r="B323" s="6" t="s">
        <v>52</v>
      </c>
      <c r="C323" s="33">
        <v>1000</v>
      </c>
      <c r="D323" s="34">
        <v>100</v>
      </c>
      <c r="E323" s="6" t="s">
        <v>84</v>
      </c>
      <c r="F323" s="6" t="s">
        <v>59</v>
      </c>
      <c r="G323" s="6"/>
      <c r="H323" s="7" t="s">
        <v>142</v>
      </c>
      <c r="I323" s="7" t="str">
        <f t="shared" si="59"/>
        <v>HITANO</v>
      </c>
      <c r="J323" s="7" t="str">
        <f t="shared" si="56"/>
        <v>1000µF</v>
      </c>
      <c r="K323" s="7" t="str">
        <f t="shared" si="57"/>
        <v>100v</v>
      </c>
      <c r="L323" s="7" t="str">
        <f t="shared" si="58"/>
        <v>EXR</v>
      </c>
      <c r="M323" s="31">
        <f t="shared" ref="M323:M386" si="62">VALUE(LEFT($E323,SEARCH("x",$E323)-1))</f>
        <v>18</v>
      </c>
      <c r="N323" s="31">
        <f t="shared" ref="N323:N386" si="63">VALUE(RIGHT($E323,LEN($E323)-SEARCH("x",$E323)))</f>
        <v>41</v>
      </c>
      <c r="O323" s="8" t="str">
        <f t="shared" ref="O323:O386" si="64">$A323&amp;"-"&amp;$B323</f>
        <v>Hitano-EXR</v>
      </c>
      <c r="P323" s="12" t="str">
        <f t="shared" si="60"/>
        <v>Hitano R-18.0x41.0</v>
      </c>
      <c r="Q323" s="12" t="str">
        <f t="shared" ref="Q323:Q386" si="65">TEXT($C323,"General"&amp;CHAR(34)&amp;"µF"&amp;CHAR(34))</f>
        <v>1000µF</v>
      </c>
      <c r="R323" s="12" t="str">
        <f t="shared" ref="R323:R386" si="66">TEXT($D323,"General"&amp;CHAR(34)&amp;"v"&amp;CHAR(34))</f>
        <v>100v</v>
      </c>
      <c r="S323" s="8" t="str">
        <f t="shared" si="61"/>
        <v>1000µF 100v - R18.0-41.0 Hitano (EXR)</v>
      </c>
      <c r="T323" s="8">
        <f t="shared" ref="T323:T386" si="67">COUNTIF($S:$S,$S323)</f>
        <v>1</v>
      </c>
      <c r="U323" s="8" t="b">
        <f>NOT(ISNA(MATCH($P323,Packages!$A:$A,0)))</f>
        <v>1</v>
      </c>
    </row>
    <row r="324" spans="1:21">
      <c r="A324" s="6" t="s">
        <v>49</v>
      </c>
      <c r="B324" s="6" t="s">
        <v>52</v>
      </c>
      <c r="C324" s="33">
        <v>1</v>
      </c>
      <c r="D324" s="34">
        <v>160</v>
      </c>
      <c r="E324" s="6" t="s">
        <v>69</v>
      </c>
      <c r="F324" s="6" t="s">
        <v>59</v>
      </c>
      <c r="G324" s="6"/>
      <c r="H324" s="7" t="s">
        <v>142</v>
      </c>
      <c r="I324" s="7" t="str">
        <f t="shared" si="59"/>
        <v>HITANO</v>
      </c>
      <c r="J324" s="7" t="str">
        <f t="shared" si="56"/>
        <v>1µF</v>
      </c>
      <c r="K324" s="7" t="str">
        <f t="shared" si="57"/>
        <v>160v</v>
      </c>
      <c r="L324" s="7" t="str">
        <f t="shared" si="58"/>
        <v>EXR</v>
      </c>
      <c r="M324" s="31">
        <f t="shared" si="62"/>
        <v>6.3</v>
      </c>
      <c r="N324" s="31">
        <f t="shared" si="63"/>
        <v>11</v>
      </c>
      <c r="O324" s="8" t="str">
        <f t="shared" si="64"/>
        <v>Hitano-EXR</v>
      </c>
      <c r="P324" s="12" t="str">
        <f t="shared" si="60"/>
        <v>Hitano R-06.0x11.0</v>
      </c>
      <c r="Q324" s="12" t="str">
        <f t="shared" si="65"/>
        <v>1µF</v>
      </c>
      <c r="R324" s="12" t="str">
        <f t="shared" si="66"/>
        <v>160v</v>
      </c>
      <c r="S324" s="8" t="str">
        <f t="shared" si="61"/>
        <v>1µF 160v - R06.3-11.0 Hitano (EXR)</v>
      </c>
      <c r="T324" s="8">
        <f t="shared" si="67"/>
        <v>1</v>
      </c>
      <c r="U324" s="8" t="b">
        <f>NOT(ISNA(MATCH($P324,Packages!$A:$A,0)))</f>
        <v>1</v>
      </c>
    </row>
    <row r="325" spans="1:21">
      <c r="A325" s="6" t="s">
        <v>49</v>
      </c>
      <c r="B325" s="6" t="s">
        <v>52</v>
      </c>
      <c r="C325" s="33">
        <v>2.2000000000000002</v>
      </c>
      <c r="D325" s="34">
        <v>160</v>
      </c>
      <c r="E325" s="6" t="s">
        <v>69</v>
      </c>
      <c r="F325" s="6" t="s">
        <v>59</v>
      </c>
      <c r="G325" s="6"/>
      <c r="H325" s="7" t="s">
        <v>142</v>
      </c>
      <c r="I325" s="7" t="str">
        <f t="shared" si="59"/>
        <v>HITANO</v>
      </c>
      <c r="J325" s="7" t="str">
        <f t="shared" si="56"/>
        <v>2.2µF</v>
      </c>
      <c r="K325" s="7" t="str">
        <f t="shared" si="57"/>
        <v>160v</v>
      </c>
      <c r="L325" s="7" t="str">
        <f t="shared" si="58"/>
        <v>EXR</v>
      </c>
      <c r="M325" s="31">
        <f t="shared" si="62"/>
        <v>6.3</v>
      </c>
      <c r="N325" s="31">
        <f t="shared" si="63"/>
        <v>11</v>
      </c>
      <c r="O325" s="8" t="str">
        <f t="shared" si="64"/>
        <v>Hitano-EXR</v>
      </c>
      <c r="P325" s="12" t="str">
        <f t="shared" si="60"/>
        <v>Hitano R-06.0x11.0</v>
      </c>
      <c r="Q325" s="12" t="str">
        <f t="shared" si="65"/>
        <v>2.2µF</v>
      </c>
      <c r="R325" s="12" t="str">
        <f t="shared" si="66"/>
        <v>160v</v>
      </c>
      <c r="S325" s="8" t="str">
        <f t="shared" si="61"/>
        <v>2.2µF 160v - R06.3-11.0 Hitano (EXR)</v>
      </c>
      <c r="T325" s="8">
        <f t="shared" si="67"/>
        <v>1</v>
      </c>
      <c r="U325" s="8" t="b">
        <f>NOT(ISNA(MATCH($P325,Packages!$A:$A,0)))</f>
        <v>1</v>
      </c>
    </row>
    <row r="326" spans="1:21">
      <c r="A326" s="6" t="s">
        <v>49</v>
      </c>
      <c r="B326" s="6" t="s">
        <v>52</v>
      </c>
      <c r="C326" s="33">
        <v>3.3</v>
      </c>
      <c r="D326" s="34">
        <v>160</v>
      </c>
      <c r="E326" s="6" t="s">
        <v>71</v>
      </c>
      <c r="F326" s="6" t="s">
        <v>59</v>
      </c>
      <c r="G326" s="6"/>
      <c r="H326" s="7" t="s">
        <v>142</v>
      </c>
      <c r="I326" s="7" t="str">
        <f t="shared" si="59"/>
        <v>HITANO</v>
      </c>
      <c r="J326" s="7" t="str">
        <f t="shared" si="56"/>
        <v>3.3µF</v>
      </c>
      <c r="K326" s="7" t="str">
        <f t="shared" si="57"/>
        <v>160v</v>
      </c>
      <c r="L326" s="7" t="str">
        <f t="shared" si="58"/>
        <v>EXR</v>
      </c>
      <c r="M326" s="31">
        <f t="shared" si="62"/>
        <v>8</v>
      </c>
      <c r="N326" s="31">
        <f t="shared" si="63"/>
        <v>12</v>
      </c>
      <c r="O326" s="8" t="str">
        <f t="shared" si="64"/>
        <v>Hitano-EXR</v>
      </c>
      <c r="P326" s="12" t="str">
        <f t="shared" si="60"/>
        <v>Hitano R-08.0x12.0</v>
      </c>
      <c r="Q326" s="12" t="str">
        <f t="shared" si="65"/>
        <v>3.3µF</v>
      </c>
      <c r="R326" s="12" t="str">
        <f t="shared" si="66"/>
        <v>160v</v>
      </c>
      <c r="S326" s="8" t="str">
        <f t="shared" si="61"/>
        <v>3.3µF 160v - R08.0-12.0 Hitano (EXR)</v>
      </c>
      <c r="T326" s="8">
        <f t="shared" si="67"/>
        <v>1</v>
      </c>
      <c r="U326" s="8" t="b">
        <f>NOT(ISNA(MATCH($P326,Packages!$A:$A,0)))</f>
        <v>1</v>
      </c>
    </row>
    <row r="327" spans="1:21">
      <c r="A327" s="6" t="s">
        <v>49</v>
      </c>
      <c r="B327" s="6" t="s">
        <v>52</v>
      </c>
      <c r="C327" s="33">
        <v>4.7</v>
      </c>
      <c r="D327" s="34">
        <v>160</v>
      </c>
      <c r="E327" s="6" t="s">
        <v>71</v>
      </c>
      <c r="F327" s="6" t="s">
        <v>59</v>
      </c>
      <c r="G327" s="6"/>
      <c r="H327" s="7" t="s">
        <v>142</v>
      </c>
      <c r="I327" s="7" t="str">
        <f t="shared" si="59"/>
        <v>HITANO</v>
      </c>
      <c r="J327" s="7" t="str">
        <f t="shared" si="56"/>
        <v>4.7µF</v>
      </c>
      <c r="K327" s="7" t="str">
        <f t="shared" si="57"/>
        <v>160v</v>
      </c>
      <c r="L327" s="7" t="str">
        <f t="shared" si="58"/>
        <v>EXR</v>
      </c>
      <c r="M327" s="31">
        <f t="shared" si="62"/>
        <v>8</v>
      </c>
      <c r="N327" s="31">
        <f t="shared" si="63"/>
        <v>12</v>
      </c>
      <c r="O327" s="8" t="str">
        <f t="shared" si="64"/>
        <v>Hitano-EXR</v>
      </c>
      <c r="P327" s="12" t="str">
        <f t="shared" si="60"/>
        <v>Hitano R-08.0x12.0</v>
      </c>
      <c r="Q327" s="12" t="str">
        <f t="shared" si="65"/>
        <v>4.7µF</v>
      </c>
      <c r="R327" s="12" t="str">
        <f t="shared" si="66"/>
        <v>160v</v>
      </c>
      <c r="S327" s="8" t="str">
        <f t="shared" si="61"/>
        <v>4.7µF 160v - R08.0-12.0 Hitano (EXR)</v>
      </c>
      <c r="T327" s="8">
        <f t="shared" si="67"/>
        <v>1</v>
      </c>
      <c r="U327" s="8" t="b">
        <f>NOT(ISNA(MATCH($P327,Packages!$A:$A,0)))</f>
        <v>1</v>
      </c>
    </row>
    <row r="328" spans="1:21">
      <c r="A328" s="6" t="s">
        <v>49</v>
      </c>
      <c r="B328" s="6" t="s">
        <v>52</v>
      </c>
      <c r="C328" s="33">
        <v>10</v>
      </c>
      <c r="D328" s="34">
        <v>160</v>
      </c>
      <c r="E328" s="6" t="s">
        <v>74</v>
      </c>
      <c r="F328" s="6" t="s">
        <v>59</v>
      </c>
      <c r="G328" s="6"/>
      <c r="H328" s="7" t="s">
        <v>142</v>
      </c>
      <c r="I328" s="7" t="str">
        <f t="shared" si="59"/>
        <v>HITANO</v>
      </c>
      <c r="J328" s="7" t="str">
        <f t="shared" ref="J328:J359" si="68">Q328</f>
        <v>10µF</v>
      </c>
      <c r="K328" s="7" t="str">
        <f t="shared" ref="K328:K359" si="69">R328</f>
        <v>160v</v>
      </c>
      <c r="L328" s="7" t="str">
        <f t="shared" ref="L328:L387" si="70">B328</f>
        <v>EXR</v>
      </c>
      <c r="M328" s="31">
        <f t="shared" si="62"/>
        <v>10</v>
      </c>
      <c r="N328" s="31">
        <f t="shared" si="63"/>
        <v>16</v>
      </c>
      <c r="O328" s="8" t="str">
        <f t="shared" si="64"/>
        <v>Hitano-EXR</v>
      </c>
      <c r="P328" s="12" t="str">
        <f t="shared" si="60"/>
        <v>Hitano R-10.0x16.0</v>
      </c>
      <c r="Q328" s="12" t="str">
        <f t="shared" si="65"/>
        <v>10µF</v>
      </c>
      <c r="R328" s="12" t="str">
        <f t="shared" si="66"/>
        <v>160v</v>
      </c>
      <c r="S328" s="8" t="str">
        <f t="shared" si="61"/>
        <v>10µF 160v - R10.0-16.0 Hitano (EXR)</v>
      </c>
      <c r="T328" s="8">
        <f t="shared" si="67"/>
        <v>1</v>
      </c>
      <c r="U328" s="8" t="b">
        <f>NOT(ISNA(MATCH($P328,Packages!$A:$A,0)))</f>
        <v>1</v>
      </c>
    </row>
    <row r="329" spans="1:21">
      <c r="A329" s="6" t="s">
        <v>49</v>
      </c>
      <c r="B329" s="6" t="s">
        <v>52</v>
      </c>
      <c r="C329" s="33">
        <v>22</v>
      </c>
      <c r="D329" s="34">
        <v>160</v>
      </c>
      <c r="E329" s="6" t="s">
        <v>75</v>
      </c>
      <c r="F329" s="6" t="s">
        <v>59</v>
      </c>
      <c r="G329" s="6"/>
      <c r="H329" s="7" t="s">
        <v>142</v>
      </c>
      <c r="I329" s="7" t="str">
        <f t="shared" si="59"/>
        <v>HITANO</v>
      </c>
      <c r="J329" s="7" t="str">
        <f t="shared" si="68"/>
        <v>22µF</v>
      </c>
      <c r="K329" s="7" t="str">
        <f t="shared" si="69"/>
        <v>160v</v>
      </c>
      <c r="L329" s="7" t="str">
        <f t="shared" si="70"/>
        <v>EXR</v>
      </c>
      <c r="M329" s="31">
        <f t="shared" si="62"/>
        <v>10</v>
      </c>
      <c r="N329" s="31">
        <f t="shared" si="63"/>
        <v>21</v>
      </c>
      <c r="O329" s="8" t="str">
        <f t="shared" si="64"/>
        <v>Hitano-EXR</v>
      </c>
      <c r="P329" s="12" t="str">
        <f t="shared" si="60"/>
        <v>Hitano R-10.0x21.0</v>
      </c>
      <c r="Q329" s="12" t="str">
        <f t="shared" si="65"/>
        <v>22µF</v>
      </c>
      <c r="R329" s="12" t="str">
        <f t="shared" si="66"/>
        <v>160v</v>
      </c>
      <c r="S329" s="8" t="str">
        <f t="shared" si="61"/>
        <v>22µF 160v - R10.0-21.0 Hitano (EXR)</v>
      </c>
      <c r="T329" s="8">
        <f t="shared" si="67"/>
        <v>1</v>
      </c>
      <c r="U329" s="8" t="b">
        <f>NOT(ISNA(MATCH($P329,Packages!$A:$A,0)))</f>
        <v>1</v>
      </c>
    </row>
    <row r="330" spans="1:21">
      <c r="A330" s="6" t="s">
        <v>49</v>
      </c>
      <c r="B330" s="6" t="s">
        <v>52</v>
      </c>
      <c r="C330" s="33">
        <v>33</v>
      </c>
      <c r="D330" s="34">
        <v>160</v>
      </c>
      <c r="E330" s="6" t="s">
        <v>76</v>
      </c>
      <c r="F330" s="6" t="s">
        <v>59</v>
      </c>
      <c r="G330" s="6"/>
      <c r="H330" s="7" t="s">
        <v>142</v>
      </c>
      <c r="I330" s="7" t="str">
        <f t="shared" si="59"/>
        <v>HITANO</v>
      </c>
      <c r="J330" s="7" t="str">
        <f t="shared" si="68"/>
        <v>33µF</v>
      </c>
      <c r="K330" s="7" t="str">
        <f t="shared" si="69"/>
        <v>160v</v>
      </c>
      <c r="L330" s="7" t="str">
        <f t="shared" si="70"/>
        <v>EXR</v>
      </c>
      <c r="M330" s="31">
        <f t="shared" si="62"/>
        <v>13</v>
      </c>
      <c r="N330" s="31">
        <f t="shared" si="63"/>
        <v>21</v>
      </c>
      <c r="O330" s="8" t="str">
        <f t="shared" si="64"/>
        <v>Hitano-EXR</v>
      </c>
      <c r="P330" s="12" t="str">
        <f t="shared" si="60"/>
        <v>Hitano R-13.0x21.0</v>
      </c>
      <c r="Q330" s="12" t="str">
        <f t="shared" si="65"/>
        <v>33µF</v>
      </c>
      <c r="R330" s="12" t="str">
        <f t="shared" si="66"/>
        <v>160v</v>
      </c>
      <c r="S330" s="8" t="str">
        <f t="shared" si="61"/>
        <v>33µF 160v - R13.0-21.0 Hitano (EXR)</v>
      </c>
      <c r="T330" s="8">
        <f t="shared" si="67"/>
        <v>1</v>
      </c>
      <c r="U330" s="8" t="b">
        <f>NOT(ISNA(MATCH($P330,Packages!$A:$A,0)))</f>
        <v>1</v>
      </c>
    </row>
    <row r="331" spans="1:21">
      <c r="A331" s="6" t="s">
        <v>49</v>
      </c>
      <c r="B331" s="6" t="s">
        <v>52</v>
      </c>
      <c r="C331" s="33">
        <v>47</v>
      </c>
      <c r="D331" s="34">
        <v>160</v>
      </c>
      <c r="E331" s="6" t="s">
        <v>76</v>
      </c>
      <c r="F331" s="6" t="s">
        <v>59</v>
      </c>
      <c r="G331" s="6"/>
      <c r="H331" s="7" t="s">
        <v>142</v>
      </c>
      <c r="I331" s="7" t="str">
        <f t="shared" si="59"/>
        <v>HITANO</v>
      </c>
      <c r="J331" s="7" t="str">
        <f t="shared" si="68"/>
        <v>47µF</v>
      </c>
      <c r="K331" s="7" t="str">
        <f t="shared" si="69"/>
        <v>160v</v>
      </c>
      <c r="L331" s="7" t="str">
        <f t="shared" si="70"/>
        <v>EXR</v>
      </c>
      <c r="M331" s="31">
        <f t="shared" si="62"/>
        <v>13</v>
      </c>
      <c r="N331" s="31">
        <f t="shared" si="63"/>
        <v>21</v>
      </c>
      <c r="O331" s="8" t="str">
        <f t="shared" si="64"/>
        <v>Hitano-EXR</v>
      </c>
      <c r="P331" s="12" t="str">
        <f t="shared" si="60"/>
        <v>Hitano R-13.0x21.0</v>
      </c>
      <c r="Q331" s="12" t="str">
        <f t="shared" si="65"/>
        <v>47µF</v>
      </c>
      <c r="R331" s="12" t="str">
        <f t="shared" si="66"/>
        <v>160v</v>
      </c>
      <c r="S331" s="8" t="str">
        <f t="shared" si="61"/>
        <v>47µF 160v - R13.0-21.0 Hitano (EXR)</v>
      </c>
      <c r="T331" s="8">
        <f t="shared" si="67"/>
        <v>1</v>
      </c>
      <c r="U331" s="8" t="b">
        <f>NOT(ISNA(MATCH($P331,Packages!$A:$A,0)))</f>
        <v>1</v>
      </c>
    </row>
    <row r="332" spans="1:21">
      <c r="A332" s="6" t="s">
        <v>49</v>
      </c>
      <c r="B332" s="6" t="s">
        <v>52</v>
      </c>
      <c r="C332" s="33">
        <v>68</v>
      </c>
      <c r="D332" s="34">
        <v>160</v>
      </c>
      <c r="E332" s="6" t="s">
        <v>77</v>
      </c>
      <c r="F332" s="6" t="s">
        <v>59</v>
      </c>
      <c r="G332" s="6"/>
      <c r="H332" s="7" t="s">
        <v>142</v>
      </c>
      <c r="I332" s="7" t="str">
        <f t="shared" si="59"/>
        <v>HITANO</v>
      </c>
      <c r="J332" s="7" t="str">
        <f t="shared" si="68"/>
        <v>68µF</v>
      </c>
      <c r="K332" s="7" t="str">
        <f t="shared" si="69"/>
        <v>160v</v>
      </c>
      <c r="L332" s="7" t="str">
        <f t="shared" si="70"/>
        <v>EXR</v>
      </c>
      <c r="M332" s="31">
        <f t="shared" si="62"/>
        <v>13</v>
      </c>
      <c r="N332" s="31">
        <f t="shared" si="63"/>
        <v>26</v>
      </c>
      <c r="O332" s="8" t="str">
        <f t="shared" si="64"/>
        <v>Hitano-EXR</v>
      </c>
      <c r="P332" s="12" t="str">
        <f t="shared" si="60"/>
        <v>Hitano R-13.0x26.0</v>
      </c>
      <c r="Q332" s="12" t="str">
        <f t="shared" si="65"/>
        <v>68µF</v>
      </c>
      <c r="R332" s="12" t="str">
        <f t="shared" si="66"/>
        <v>160v</v>
      </c>
      <c r="S332" s="8" t="str">
        <f t="shared" si="61"/>
        <v>68µF 160v - R13.0-26.0 Hitano (EXR)</v>
      </c>
      <c r="T332" s="8">
        <f t="shared" si="67"/>
        <v>1</v>
      </c>
      <c r="U332" s="8" t="b">
        <f>NOT(ISNA(MATCH($P332,Packages!$A:$A,0)))</f>
        <v>1</v>
      </c>
    </row>
    <row r="333" spans="1:21">
      <c r="A333" s="6" t="s">
        <v>49</v>
      </c>
      <c r="B333" s="6" t="s">
        <v>52</v>
      </c>
      <c r="C333" s="33">
        <v>100</v>
      </c>
      <c r="D333" s="34">
        <v>160</v>
      </c>
      <c r="E333" s="6" t="s">
        <v>78</v>
      </c>
      <c r="F333" s="6" t="s">
        <v>59</v>
      </c>
      <c r="G333" s="6"/>
      <c r="H333" s="7" t="s">
        <v>142</v>
      </c>
      <c r="I333" s="7" t="str">
        <f t="shared" si="59"/>
        <v>HITANO</v>
      </c>
      <c r="J333" s="7" t="str">
        <f t="shared" si="68"/>
        <v>100µF</v>
      </c>
      <c r="K333" s="7" t="str">
        <f t="shared" si="69"/>
        <v>160v</v>
      </c>
      <c r="L333" s="7" t="str">
        <f t="shared" si="70"/>
        <v>EXR</v>
      </c>
      <c r="M333" s="31">
        <f t="shared" si="62"/>
        <v>16</v>
      </c>
      <c r="N333" s="31">
        <f t="shared" si="63"/>
        <v>26</v>
      </c>
      <c r="O333" s="8" t="str">
        <f t="shared" si="64"/>
        <v>Hitano-EXR</v>
      </c>
      <c r="P333" s="12" t="str">
        <f t="shared" si="60"/>
        <v>Hitano R-16.0x26.0</v>
      </c>
      <c r="Q333" s="12" t="str">
        <f t="shared" si="65"/>
        <v>100µF</v>
      </c>
      <c r="R333" s="12" t="str">
        <f t="shared" si="66"/>
        <v>160v</v>
      </c>
      <c r="S333" s="8" t="str">
        <f t="shared" si="61"/>
        <v>100µF 160v - R16.0-26.0 Hitano (EXR)</v>
      </c>
      <c r="T333" s="8">
        <f t="shared" si="67"/>
        <v>1</v>
      </c>
      <c r="U333" s="8" t="b">
        <f>NOT(ISNA(MATCH($P333,Packages!$A:$A,0)))</f>
        <v>1</v>
      </c>
    </row>
    <row r="334" spans="1:21">
      <c r="A334" s="6" t="s">
        <v>49</v>
      </c>
      <c r="B334" s="6" t="s">
        <v>52</v>
      </c>
      <c r="C334" s="33">
        <v>220</v>
      </c>
      <c r="D334" s="34">
        <v>160</v>
      </c>
      <c r="E334" s="6" t="s">
        <v>79</v>
      </c>
      <c r="F334" s="6" t="s">
        <v>59</v>
      </c>
      <c r="G334" s="6"/>
      <c r="H334" s="7" t="s">
        <v>142</v>
      </c>
      <c r="I334" s="7" t="str">
        <f t="shared" si="59"/>
        <v>HITANO</v>
      </c>
      <c r="J334" s="7" t="str">
        <f t="shared" si="68"/>
        <v>220µF</v>
      </c>
      <c r="K334" s="7" t="str">
        <f t="shared" si="69"/>
        <v>160v</v>
      </c>
      <c r="L334" s="7" t="str">
        <f t="shared" si="70"/>
        <v>EXR</v>
      </c>
      <c r="M334" s="31">
        <f t="shared" si="62"/>
        <v>16</v>
      </c>
      <c r="N334" s="31">
        <f t="shared" si="63"/>
        <v>36</v>
      </c>
      <c r="O334" s="8" t="str">
        <f t="shared" si="64"/>
        <v>Hitano-EXR</v>
      </c>
      <c r="P334" s="12" t="str">
        <f t="shared" si="60"/>
        <v>Hitano R-16.0x36.0</v>
      </c>
      <c r="Q334" s="12" t="str">
        <f t="shared" si="65"/>
        <v>220µF</v>
      </c>
      <c r="R334" s="12" t="str">
        <f t="shared" si="66"/>
        <v>160v</v>
      </c>
      <c r="S334" s="8" t="str">
        <f t="shared" si="61"/>
        <v>220µF 160v - R16.0-36.0 Hitano (EXR)</v>
      </c>
      <c r="T334" s="8">
        <f t="shared" si="67"/>
        <v>1</v>
      </c>
      <c r="U334" s="8" t="b">
        <f>NOT(ISNA(MATCH($P334,Packages!$A:$A,0)))</f>
        <v>1</v>
      </c>
    </row>
    <row r="335" spans="1:21">
      <c r="A335" s="6" t="s">
        <v>49</v>
      </c>
      <c r="B335" s="6" t="s">
        <v>52</v>
      </c>
      <c r="C335" s="33">
        <v>330</v>
      </c>
      <c r="D335" s="34">
        <v>160</v>
      </c>
      <c r="E335" s="6" t="s">
        <v>84</v>
      </c>
      <c r="F335" s="6" t="s">
        <v>59</v>
      </c>
      <c r="G335" s="6"/>
      <c r="H335" s="7" t="s">
        <v>142</v>
      </c>
      <c r="I335" s="7" t="str">
        <f t="shared" si="59"/>
        <v>HITANO</v>
      </c>
      <c r="J335" s="7" t="str">
        <f t="shared" si="68"/>
        <v>330µF</v>
      </c>
      <c r="K335" s="7" t="str">
        <f t="shared" si="69"/>
        <v>160v</v>
      </c>
      <c r="L335" s="7" t="str">
        <f t="shared" si="70"/>
        <v>EXR</v>
      </c>
      <c r="M335" s="31">
        <f t="shared" si="62"/>
        <v>18</v>
      </c>
      <c r="N335" s="31">
        <f t="shared" si="63"/>
        <v>41</v>
      </c>
      <c r="O335" s="8" t="str">
        <f t="shared" si="64"/>
        <v>Hitano-EXR</v>
      </c>
      <c r="P335" s="12" t="str">
        <f t="shared" si="60"/>
        <v>Hitano R-18.0x41.0</v>
      </c>
      <c r="Q335" s="12" t="str">
        <f t="shared" si="65"/>
        <v>330µF</v>
      </c>
      <c r="R335" s="12" t="str">
        <f t="shared" si="66"/>
        <v>160v</v>
      </c>
      <c r="S335" s="8" t="str">
        <f t="shared" si="61"/>
        <v>330µF 160v - R18.0-41.0 Hitano (EXR)</v>
      </c>
      <c r="T335" s="8">
        <f t="shared" si="67"/>
        <v>1</v>
      </c>
      <c r="U335" s="8" t="b">
        <f>NOT(ISNA(MATCH($P335,Packages!$A:$A,0)))</f>
        <v>1</v>
      </c>
    </row>
    <row r="336" spans="1:21">
      <c r="A336" s="6" t="s">
        <v>49</v>
      </c>
      <c r="B336" s="6" t="s">
        <v>52</v>
      </c>
      <c r="C336" s="33">
        <v>1</v>
      </c>
      <c r="D336" s="34">
        <v>200</v>
      </c>
      <c r="E336" s="6" t="s">
        <v>69</v>
      </c>
      <c r="F336" s="6" t="s">
        <v>59</v>
      </c>
      <c r="G336" s="6"/>
      <c r="H336" s="7" t="s">
        <v>142</v>
      </c>
      <c r="I336" s="7" t="str">
        <f t="shared" si="59"/>
        <v>HITANO</v>
      </c>
      <c r="J336" s="7" t="str">
        <f t="shared" si="68"/>
        <v>1µF</v>
      </c>
      <c r="K336" s="7" t="str">
        <f t="shared" si="69"/>
        <v>200v</v>
      </c>
      <c r="L336" s="7" t="str">
        <f t="shared" si="70"/>
        <v>EXR</v>
      </c>
      <c r="M336" s="31">
        <f t="shared" si="62"/>
        <v>6.3</v>
      </c>
      <c r="N336" s="31">
        <f t="shared" si="63"/>
        <v>11</v>
      </c>
      <c r="O336" s="8" t="str">
        <f t="shared" si="64"/>
        <v>Hitano-EXR</v>
      </c>
      <c r="P336" s="12" t="str">
        <f t="shared" si="60"/>
        <v>Hitano R-06.0x11.0</v>
      </c>
      <c r="Q336" s="12" t="str">
        <f t="shared" si="65"/>
        <v>1µF</v>
      </c>
      <c r="R336" s="12" t="str">
        <f t="shared" si="66"/>
        <v>200v</v>
      </c>
      <c r="S336" s="8" t="str">
        <f t="shared" si="61"/>
        <v>1µF 200v - R06.3-11.0 Hitano (EXR)</v>
      </c>
      <c r="T336" s="8">
        <f t="shared" si="67"/>
        <v>1</v>
      </c>
      <c r="U336" s="8" t="b">
        <f>NOT(ISNA(MATCH($P336,Packages!$A:$A,0)))</f>
        <v>1</v>
      </c>
    </row>
    <row r="337" spans="1:21">
      <c r="A337" s="6" t="s">
        <v>49</v>
      </c>
      <c r="B337" s="6" t="s">
        <v>52</v>
      </c>
      <c r="C337" s="33">
        <v>2.2000000000000002</v>
      </c>
      <c r="D337" s="34">
        <v>200</v>
      </c>
      <c r="E337" s="6" t="s">
        <v>69</v>
      </c>
      <c r="F337" s="6" t="s">
        <v>59</v>
      </c>
      <c r="G337" s="6"/>
      <c r="H337" s="7" t="s">
        <v>142</v>
      </c>
      <c r="I337" s="7" t="str">
        <f t="shared" si="59"/>
        <v>HITANO</v>
      </c>
      <c r="J337" s="7" t="str">
        <f t="shared" si="68"/>
        <v>2.2µF</v>
      </c>
      <c r="K337" s="7" t="str">
        <f t="shared" si="69"/>
        <v>200v</v>
      </c>
      <c r="L337" s="7" t="str">
        <f t="shared" si="70"/>
        <v>EXR</v>
      </c>
      <c r="M337" s="31">
        <f t="shared" si="62"/>
        <v>6.3</v>
      </c>
      <c r="N337" s="31">
        <f t="shared" si="63"/>
        <v>11</v>
      </c>
      <c r="O337" s="8" t="str">
        <f t="shared" si="64"/>
        <v>Hitano-EXR</v>
      </c>
      <c r="P337" s="12" t="str">
        <f t="shared" si="60"/>
        <v>Hitano R-06.0x11.0</v>
      </c>
      <c r="Q337" s="12" t="str">
        <f t="shared" si="65"/>
        <v>2.2µF</v>
      </c>
      <c r="R337" s="12" t="str">
        <f t="shared" si="66"/>
        <v>200v</v>
      </c>
      <c r="S337" s="8" t="str">
        <f t="shared" si="61"/>
        <v>2.2µF 200v - R06.3-11.0 Hitano (EXR)</v>
      </c>
      <c r="T337" s="8">
        <f t="shared" si="67"/>
        <v>1</v>
      </c>
      <c r="U337" s="8" t="b">
        <f>NOT(ISNA(MATCH($P337,Packages!$A:$A,0)))</f>
        <v>1</v>
      </c>
    </row>
    <row r="338" spans="1:21">
      <c r="A338" s="6" t="s">
        <v>49</v>
      </c>
      <c r="B338" s="6" t="s">
        <v>52</v>
      </c>
      <c r="C338" s="33">
        <v>3.3</v>
      </c>
      <c r="D338" s="34">
        <v>200</v>
      </c>
      <c r="E338" s="6" t="s">
        <v>71</v>
      </c>
      <c r="F338" s="6" t="s">
        <v>59</v>
      </c>
      <c r="G338" s="6"/>
      <c r="H338" s="7" t="s">
        <v>142</v>
      </c>
      <c r="I338" s="7" t="str">
        <f t="shared" si="59"/>
        <v>HITANO</v>
      </c>
      <c r="J338" s="7" t="str">
        <f t="shared" si="68"/>
        <v>3.3µF</v>
      </c>
      <c r="K338" s="7" t="str">
        <f t="shared" si="69"/>
        <v>200v</v>
      </c>
      <c r="L338" s="7" t="str">
        <f t="shared" si="70"/>
        <v>EXR</v>
      </c>
      <c r="M338" s="31">
        <f t="shared" si="62"/>
        <v>8</v>
      </c>
      <c r="N338" s="31">
        <f t="shared" si="63"/>
        <v>12</v>
      </c>
      <c r="O338" s="8" t="str">
        <f t="shared" si="64"/>
        <v>Hitano-EXR</v>
      </c>
      <c r="P338" s="12" t="str">
        <f t="shared" si="60"/>
        <v>Hitano R-08.0x12.0</v>
      </c>
      <c r="Q338" s="12" t="str">
        <f t="shared" si="65"/>
        <v>3.3µF</v>
      </c>
      <c r="R338" s="12" t="str">
        <f t="shared" si="66"/>
        <v>200v</v>
      </c>
      <c r="S338" s="8" t="str">
        <f t="shared" si="61"/>
        <v>3.3µF 200v - R08.0-12.0 Hitano (EXR)</v>
      </c>
      <c r="T338" s="8">
        <f t="shared" si="67"/>
        <v>1</v>
      </c>
      <c r="U338" s="8" t="b">
        <f>NOT(ISNA(MATCH($P338,Packages!$A:$A,0)))</f>
        <v>1</v>
      </c>
    </row>
    <row r="339" spans="1:21">
      <c r="A339" s="6" t="s">
        <v>49</v>
      </c>
      <c r="B339" s="6" t="s">
        <v>52</v>
      </c>
      <c r="C339" s="33">
        <v>4.7</v>
      </c>
      <c r="D339" s="34">
        <v>200</v>
      </c>
      <c r="E339" s="6" t="s">
        <v>92</v>
      </c>
      <c r="F339" s="6" t="s">
        <v>59</v>
      </c>
      <c r="G339" s="6"/>
      <c r="H339" s="7" t="s">
        <v>142</v>
      </c>
      <c r="I339" s="7" t="str">
        <f t="shared" si="59"/>
        <v>HITANO</v>
      </c>
      <c r="J339" s="7" t="str">
        <f t="shared" si="68"/>
        <v>4.7µF</v>
      </c>
      <c r="K339" s="7" t="str">
        <f t="shared" si="69"/>
        <v>200v</v>
      </c>
      <c r="L339" s="7" t="str">
        <f t="shared" si="70"/>
        <v>EXR</v>
      </c>
      <c r="M339" s="31">
        <f t="shared" si="62"/>
        <v>10</v>
      </c>
      <c r="N339" s="31">
        <f t="shared" si="63"/>
        <v>12.5</v>
      </c>
      <c r="O339" s="8" t="str">
        <f t="shared" si="64"/>
        <v>Hitano-EXR</v>
      </c>
      <c r="P339" s="12" t="str">
        <f t="shared" si="60"/>
        <v>Hitano R-10.0x13.0</v>
      </c>
      <c r="Q339" s="12" t="str">
        <f t="shared" si="65"/>
        <v>4.7µF</v>
      </c>
      <c r="R339" s="12" t="str">
        <f t="shared" si="66"/>
        <v>200v</v>
      </c>
      <c r="S339" s="8" t="str">
        <f t="shared" si="61"/>
        <v>4.7µF 200v - R10.0-12.5 Hitano (EXR)</v>
      </c>
      <c r="T339" s="8">
        <f t="shared" si="67"/>
        <v>1</v>
      </c>
      <c r="U339" s="8" t="b">
        <f>NOT(ISNA(MATCH($P339,Packages!$A:$A,0)))</f>
        <v>1</v>
      </c>
    </row>
    <row r="340" spans="1:21">
      <c r="A340" s="6" t="s">
        <v>49</v>
      </c>
      <c r="B340" s="6" t="s">
        <v>52</v>
      </c>
      <c r="C340" s="33">
        <v>10</v>
      </c>
      <c r="D340" s="34">
        <v>200</v>
      </c>
      <c r="E340" s="6" t="s">
        <v>74</v>
      </c>
      <c r="F340" s="6" t="s">
        <v>59</v>
      </c>
      <c r="G340" s="6"/>
      <c r="H340" s="7" t="s">
        <v>142</v>
      </c>
      <c r="I340" s="7" t="str">
        <f t="shared" si="59"/>
        <v>HITANO</v>
      </c>
      <c r="J340" s="7" t="str">
        <f t="shared" si="68"/>
        <v>10µF</v>
      </c>
      <c r="K340" s="7" t="str">
        <f t="shared" si="69"/>
        <v>200v</v>
      </c>
      <c r="L340" s="7" t="str">
        <f t="shared" si="70"/>
        <v>EXR</v>
      </c>
      <c r="M340" s="31">
        <f t="shared" si="62"/>
        <v>10</v>
      </c>
      <c r="N340" s="31">
        <f t="shared" si="63"/>
        <v>16</v>
      </c>
      <c r="O340" s="8" t="str">
        <f t="shared" si="64"/>
        <v>Hitano-EXR</v>
      </c>
      <c r="P340" s="12" t="str">
        <f t="shared" si="60"/>
        <v>Hitano R-10.0x16.0</v>
      </c>
      <c r="Q340" s="12" t="str">
        <f t="shared" si="65"/>
        <v>10µF</v>
      </c>
      <c r="R340" s="12" t="str">
        <f t="shared" si="66"/>
        <v>200v</v>
      </c>
      <c r="S340" s="8" t="str">
        <f t="shared" si="61"/>
        <v>10µF 200v - R10.0-16.0 Hitano (EXR)</v>
      </c>
      <c r="T340" s="8">
        <f t="shared" si="67"/>
        <v>1</v>
      </c>
      <c r="U340" s="8" t="b">
        <f>NOT(ISNA(MATCH($P340,Packages!$A:$A,0)))</f>
        <v>1</v>
      </c>
    </row>
    <row r="341" spans="1:21">
      <c r="A341" s="6" t="s">
        <v>49</v>
      </c>
      <c r="B341" s="6" t="s">
        <v>52</v>
      </c>
      <c r="C341" s="33">
        <v>22</v>
      </c>
      <c r="D341" s="34">
        <v>200</v>
      </c>
      <c r="E341" s="6" t="s">
        <v>75</v>
      </c>
      <c r="F341" s="6" t="s">
        <v>59</v>
      </c>
      <c r="G341" s="6"/>
      <c r="H341" s="7" t="s">
        <v>142</v>
      </c>
      <c r="I341" s="7" t="str">
        <f t="shared" si="59"/>
        <v>HITANO</v>
      </c>
      <c r="J341" s="7" t="str">
        <f t="shared" si="68"/>
        <v>22µF</v>
      </c>
      <c r="K341" s="7" t="str">
        <f t="shared" si="69"/>
        <v>200v</v>
      </c>
      <c r="L341" s="7" t="str">
        <f t="shared" si="70"/>
        <v>EXR</v>
      </c>
      <c r="M341" s="31">
        <f t="shared" si="62"/>
        <v>10</v>
      </c>
      <c r="N341" s="31">
        <f t="shared" si="63"/>
        <v>21</v>
      </c>
      <c r="O341" s="8" t="str">
        <f t="shared" si="64"/>
        <v>Hitano-EXR</v>
      </c>
      <c r="P341" s="12" t="str">
        <f t="shared" si="60"/>
        <v>Hitano R-10.0x21.0</v>
      </c>
      <c r="Q341" s="12" t="str">
        <f t="shared" si="65"/>
        <v>22µF</v>
      </c>
      <c r="R341" s="12" t="str">
        <f t="shared" si="66"/>
        <v>200v</v>
      </c>
      <c r="S341" s="8" t="str">
        <f t="shared" si="61"/>
        <v>22µF 200v - R10.0-21.0 Hitano (EXR)</v>
      </c>
      <c r="T341" s="8">
        <f t="shared" si="67"/>
        <v>1</v>
      </c>
      <c r="U341" s="8" t="b">
        <f>NOT(ISNA(MATCH($P341,Packages!$A:$A,0)))</f>
        <v>1</v>
      </c>
    </row>
    <row r="342" spans="1:21">
      <c r="A342" s="6" t="s">
        <v>49</v>
      </c>
      <c r="B342" s="6" t="s">
        <v>52</v>
      </c>
      <c r="C342" s="33">
        <v>33</v>
      </c>
      <c r="D342" s="34">
        <v>200</v>
      </c>
      <c r="E342" s="6" t="s">
        <v>76</v>
      </c>
      <c r="F342" s="6" t="s">
        <v>59</v>
      </c>
      <c r="G342" s="6"/>
      <c r="H342" s="7" t="s">
        <v>142</v>
      </c>
      <c r="I342" s="7" t="str">
        <f t="shared" si="59"/>
        <v>HITANO</v>
      </c>
      <c r="J342" s="7" t="str">
        <f t="shared" si="68"/>
        <v>33µF</v>
      </c>
      <c r="K342" s="7" t="str">
        <f t="shared" si="69"/>
        <v>200v</v>
      </c>
      <c r="L342" s="7" t="str">
        <f t="shared" si="70"/>
        <v>EXR</v>
      </c>
      <c r="M342" s="31">
        <f t="shared" si="62"/>
        <v>13</v>
      </c>
      <c r="N342" s="31">
        <f t="shared" si="63"/>
        <v>21</v>
      </c>
      <c r="O342" s="8" t="str">
        <f t="shared" si="64"/>
        <v>Hitano-EXR</v>
      </c>
      <c r="P342" s="12" t="str">
        <f t="shared" si="60"/>
        <v>Hitano R-13.0x21.0</v>
      </c>
      <c r="Q342" s="12" t="str">
        <f t="shared" si="65"/>
        <v>33µF</v>
      </c>
      <c r="R342" s="12" t="str">
        <f t="shared" si="66"/>
        <v>200v</v>
      </c>
      <c r="S342" s="8" t="str">
        <f t="shared" si="61"/>
        <v>33µF 200v - R13.0-21.0 Hitano (EXR)</v>
      </c>
      <c r="T342" s="8">
        <f t="shared" si="67"/>
        <v>1</v>
      </c>
      <c r="U342" s="8" t="b">
        <f>NOT(ISNA(MATCH($P342,Packages!$A:$A,0)))</f>
        <v>1</v>
      </c>
    </row>
    <row r="343" spans="1:21">
      <c r="A343" s="6" t="s">
        <v>49</v>
      </c>
      <c r="B343" s="6" t="s">
        <v>52</v>
      </c>
      <c r="C343" s="33">
        <v>47</v>
      </c>
      <c r="D343" s="34">
        <v>200</v>
      </c>
      <c r="E343" s="6" t="s">
        <v>77</v>
      </c>
      <c r="F343" s="6" t="s">
        <v>59</v>
      </c>
      <c r="G343" s="6"/>
      <c r="H343" s="7" t="s">
        <v>142</v>
      </c>
      <c r="I343" s="7" t="str">
        <f t="shared" si="59"/>
        <v>HITANO</v>
      </c>
      <c r="J343" s="7" t="str">
        <f t="shared" si="68"/>
        <v>47µF</v>
      </c>
      <c r="K343" s="7" t="str">
        <f t="shared" si="69"/>
        <v>200v</v>
      </c>
      <c r="L343" s="7" t="str">
        <f t="shared" si="70"/>
        <v>EXR</v>
      </c>
      <c r="M343" s="31">
        <f t="shared" si="62"/>
        <v>13</v>
      </c>
      <c r="N343" s="31">
        <f t="shared" si="63"/>
        <v>26</v>
      </c>
      <c r="O343" s="8" t="str">
        <f t="shared" si="64"/>
        <v>Hitano-EXR</v>
      </c>
      <c r="P343" s="12" t="str">
        <f t="shared" si="60"/>
        <v>Hitano R-13.0x26.0</v>
      </c>
      <c r="Q343" s="12" t="str">
        <f t="shared" si="65"/>
        <v>47µF</v>
      </c>
      <c r="R343" s="12" t="str">
        <f t="shared" si="66"/>
        <v>200v</v>
      </c>
      <c r="S343" s="8" t="str">
        <f t="shared" si="61"/>
        <v>47µF 200v - R13.0-26.0 Hitano (EXR)</v>
      </c>
      <c r="T343" s="8">
        <f t="shared" si="67"/>
        <v>1</v>
      </c>
      <c r="U343" s="8" t="b">
        <f>NOT(ISNA(MATCH($P343,Packages!$A:$A,0)))</f>
        <v>1</v>
      </c>
    </row>
    <row r="344" spans="1:21">
      <c r="A344" s="6" t="s">
        <v>49</v>
      </c>
      <c r="B344" s="6" t="s">
        <v>52</v>
      </c>
      <c r="C344" s="33">
        <v>68</v>
      </c>
      <c r="D344" s="34">
        <v>200</v>
      </c>
      <c r="E344" s="6" t="s">
        <v>78</v>
      </c>
      <c r="F344" s="6" t="s">
        <v>59</v>
      </c>
      <c r="G344" s="6"/>
      <c r="H344" s="7" t="s">
        <v>142</v>
      </c>
      <c r="I344" s="7" t="str">
        <f t="shared" si="59"/>
        <v>HITANO</v>
      </c>
      <c r="J344" s="7" t="str">
        <f t="shared" si="68"/>
        <v>68µF</v>
      </c>
      <c r="K344" s="7" t="str">
        <f t="shared" si="69"/>
        <v>200v</v>
      </c>
      <c r="L344" s="7" t="str">
        <f t="shared" si="70"/>
        <v>EXR</v>
      </c>
      <c r="M344" s="31">
        <f t="shared" si="62"/>
        <v>16</v>
      </c>
      <c r="N344" s="31">
        <f t="shared" si="63"/>
        <v>26</v>
      </c>
      <c r="O344" s="8" t="str">
        <f t="shared" si="64"/>
        <v>Hitano-EXR</v>
      </c>
      <c r="P344" s="12" t="str">
        <f t="shared" si="60"/>
        <v>Hitano R-16.0x26.0</v>
      </c>
      <c r="Q344" s="12" t="str">
        <f t="shared" si="65"/>
        <v>68µF</v>
      </c>
      <c r="R344" s="12" t="str">
        <f t="shared" si="66"/>
        <v>200v</v>
      </c>
      <c r="S344" s="8" t="str">
        <f t="shared" si="61"/>
        <v>68µF 200v - R16.0-26.0 Hitano (EXR)</v>
      </c>
      <c r="T344" s="8">
        <f t="shared" si="67"/>
        <v>1</v>
      </c>
      <c r="U344" s="8" t="b">
        <f>NOT(ISNA(MATCH($P344,Packages!$A:$A,0)))</f>
        <v>1</v>
      </c>
    </row>
    <row r="345" spans="1:21">
      <c r="A345" s="6" t="s">
        <v>49</v>
      </c>
      <c r="B345" s="6" t="s">
        <v>52</v>
      </c>
      <c r="C345" s="33">
        <v>100</v>
      </c>
      <c r="D345" s="34">
        <v>200</v>
      </c>
      <c r="E345" s="6" t="s">
        <v>98</v>
      </c>
      <c r="F345" s="6" t="s">
        <v>59</v>
      </c>
      <c r="G345" s="6"/>
      <c r="H345" s="7" t="s">
        <v>142</v>
      </c>
      <c r="I345" s="7" t="str">
        <f t="shared" si="59"/>
        <v>HITANO</v>
      </c>
      <c r="J345" s="7" t="str">
        <f t="shared" si="68"/>
        <v>100µF</v>
      </c>
      <c r="K345" s="7" t="str">
        <f t="shared" si="69"/>
        <v>200v</v>
      </c>
      <c r="L345" s="7" t="str">
        <f t="shared" si="70"/>
        <v>EXR</v>
      </c>
      <c r="M345" s="31">
        <f t="shared" si="62"/>
        <v>16</v>
      </c>
      <c r="N345" s="31">
        <f t="shared" si="63"/>
        <v>31.5</v>
      </c>
      <c r="O345" s="8" t="str">
        <f t="shared" si="64"/>
        <v>Hitano-EXR</v>
      </c>
      <c r="P345" s="12" t="str">
        <f t="shared" si="60"/>
        <v>Hitano R-16.0x32.0</v>
      </c>
      <c r="Q345" s="12" t="str">
        <f t="shared" si="65"/>
        <v>100µF</v>
      </c>
      <c r="R345" s="12" t="str">
        <f t="shared" si="66"/>
        <v>200v</v>
      </c>
      <c r="S345" s="8" t="str">
        <f t="shared" si="61"/>
        <v>100µF 200v - R16.0-31.5 Hitano (EXR)</v>
      </c>
      <c r="T345" s="8">
        <f t="shared" si="67"/>
        <v>1</v>
      </c>
      <c r="U345" s="8" t="b">
        <f>NOT(ISNA(MATCH($P345,Packages!$A:$A,0)))</f>
        <v>1</v>
      </c>
    </row>
    <row r="346" spans="1:21">
      <c r="A346" s="6" t="s">
        <v>49</v>
      </c>
      <c r="B346" s="6" t="s">
        <v>52</v>
      </c>
      <c r="C346" s="33">
        <v>220</v>
      </c>
      <c r="D346" s="34">
        <v>200</v>
      </c>
      <c r="E346" s="6" t="s">
        <v>84</v>
      </c>
      <c r="F346" s="6" t="s">
        <v>59</v>
      </c>
      <c r="G346" s="6"/>
      <c r="H346" s="7" t="s">
        <v>142</v>
      </c>
      <c r="I346" s="7" t="str">
        <f t="shared" si="59"/>
        <v>HITANO</v>
      </c>
      <c r="J346" s="7" t="str">
        <f t="shared" si="68"/>
        <v>220µF</v>
      </c>
      <c r="K346" s="7" t="str">
        <f t="shared" si="69"/>
        <v>200v</v>
      </c>
      <c r="L346" s="7" t="str">
        <f t="shared" si="70"/>
        <v>EXR</v>
      </c>
      <c r="M346" s="31">
        <f t="shared" si="62"/>
        <v>18</v>
      </c>
      <c r="N346" s="31">
        <f t="shared" si="63"/>
        <v>41</v>
      </c>
      <c r="O346" s="8" t="str">
        <f t="shared" si="64"/>
        <v>Hitano-EXR</v>
      </c>
      <c r="P346" s="12" t="str">
        <f t="shared" si="60"/>
        <v>Hitano R-18.0x41.0</v>
      </c>
      <c r="Q346" s="12" t="str">
        <f t="shared" si="65"/>
        <v>220µF</v>
      </c>
      <c r="R346" s="12" t="str">
        <f t="shared" si="66"/>
        <v>200v</v>
      </c>
      <c r="S346" s="8" t="str">
        <f t="shared" si="61"/>
        <v>220µF 200v - R18.0-41.0 Hitano (EXR)</v>
      </c>
      <c r="T346" s="8">
        <f t="shared" si="67"/>
        <v>1</v>
      </c>
      <c r="U346" s="8" t="b">
        <f>NOT(ISNA(MATCH($P346,Packages!$A:$A,0)))</f>
        <v>1</v>
      </c>
    </row>
    <row r="347" spans="1:21">
      <c r="A347" s="6" t="s">
        <v>49</v>
      </c>
      <c r="B347" s="6" t="s">
        <v>52</v>
      </c>
      <c r="C347" s="33">
        <v>1</v>
      </c>
      <c r="D347" s="34">
        <v>250</v>
      </c>
      <c r="E347" s="6" t="s">
        <v>69</v>
      </c>
      <c r="F347" s="6" t="s">
        <v>59</v>
      </c>
      <c r="G347" s="6"/>
      <c r="H347" s="7" t="s">
        <v>142</v>
      </c>
      <c r="I347" s="7" t="str">
        <f t="shared" si="59"/>
        <v>HITANO</v>
      </c>
      <c r="J347" s="7" t="str">
        <f t="shared" si="68"/>
        <v>1µF</v>
      </c>
      <c r="K347" s="7" t="str">
        <f t="shared" si="69"/>
        <v>250v</v>
      </c>
      <c r="L347" s="7" t="str">
        <f t="shared" si="70"/>
        <v>EXR</v>
      </c>
      <c r="M347" s="31">
        <f t="shared" si="62"/>
        <v>6.3</v>
      </c>
      <c r="N347" s="31">
        <f t="shared" si="63"/>
        <v>11</v>
      </c>
      <c r="O347" s="8" t="str">
        <f t="shared" si="64"/>
        <v>Hitano-EXR</v>
      </c>
      <c r="P347" s="12" t="str">
        <f t="shared" si="60"/>
        <v>Hitano R-06.0x11.0</v>
      </c>
      <c r="Q347" s="12" t="str">
        <f t="shared" si="65"/>
        <v>1µF</v>
      </c>
      <c r="R347" s="12" t="str">
        <f t="shared" si="66"/>
        <v>250v</v>
      </c>
      <c r="S347" s="8" t="str">
        <f t="shared" si="61"/>
        <v>1µF 250v - R06.3-11.0 Hitano (EXR)</v>
      </c>
      <c r="T347" s="8">
        <f t="shared" si="67"/>
        <v>1</v>
      </c>
      <c r="U347" s="8" t="b">
        <f>NOT(ISNA(MATCH($P347,Packages!$A:$A,0)))</f>
        <v>1</v>
      </c>
    </row>
    <row r="348" spans="1:21">
      <c r="A348" s="6" t="s">
        <v>49</v>
      </c>
      <c r="B348" s="6" t="s">
        <v>52</v>
      </c>
      <c r="C348" s="33">
        <v>2.2000000000000002</v>
      </c>
      <c r="D348" s="34">
        <v>250</v>
      </c>
      <c r="E348" s="6" t="s">
        <v>71</v>
      </c>
      <c r="F348" s="6" t="s">
        <v>59</v>
      </c>
      <c r="G348" s="6"/>
      <c r="H348" s="7" t="s">
        <v>142</v>
      </c>
      <c r="I348" s="7" t="str">
        <f t="shared" si="59"/>
        <v>HITANO</v>
      </c>
      <c r="J348" s="7" t="str">
        <f t="shared" si="68"/>
        <v>2.2µF</v>
      </c>
      <c r="K348" s="7" t="str">
        <f t="shared" si="69"/>
        <v>250v</v>
      </c>
      <c r="L348" s="7" t="str">
        <f t="shared" si="70"/>
        <v>EXR</v>
      </c>
      <c r="M348" s="31">
        <f t="shared" si="62"/>
        <v>8</v>
      </c>
      <c r="N348" s="31">
        <f t="shared" si="63"/>
        <v>12</v>
      </c>
      <c r="O348" s="8" t="str">
        <f t="shared" si="64"/>
        <v>Hitano-EXR</v>
      </c>
      <c r="P348" s="12" t="str">
        <f t="shared" si="60"/>
        <v>Hitano R-08.0x12.0</v>
      </c>
      <c r="Q348" s="12" t="str">
        <f t="shared" si="65"/>
        <v>2.2µF</v>
      </c>
      <c r="R348" s="12" t="str">
        <f t="shared" si="66"/>
        <v>250v</v>
      </c>
      <c r="S348" s="8" t="str">
        <f t="shared" si="61"/>
        <v>2.2µF 250v - R08.0-12.0 Hitano (EXR)</v>
      </c>
      <c r="T348" s="8">
        <f t="shared" si="67"/>
        <v>1</v>
      </c>
      <c r="U348" s="8" t="b">
        <f>NOT(ISNA(MATCH($P348,Packages!$A:$A,0)))</f>
        <v>1</v>
      </c>
    </row>
    <row r="349" spans="1:21">
      <c r="A349" s="6" t="s">
        <v>49</v>
      </c>
      <c r="B349" s="6" t="s">
        <v>52</v>
      </c>
      <c r="C349" s="33">
        <v>3.3</v>
      </c>
      <c r="D349" s="34">
        <v>250</v>
      </c>
      <c r="E349" s="6" t="s">
        <v>71</v>
      </c>
      <c r="F349" s="6" t="s">
        <v>59</v>
      </c>
      <c r="G349" s="6"/>
      <c r="H349" s="7" t="s">
        <v>142</v>
      </c>
      <c r="I349" s="7" t="str">
        <f t="shared" si="59"/>
        <v>HITANO</v>
      </c>
      <c r="J349" s="7" t="str">
        <f t="shared" si="68"/>
        <v>3.3µF</v>
      </c>
      <c r="K349" s="7" t="str">
        <f t="shared" si="69"/>
        <v>250v</v>
      </c>
      <c r="L349" s="7" t="str">
        <f t="shared" si="70"/>
        <v>EXR</v>
      </c>
      <c r="M349" s="31">
        <f t="shared" si="62"/>
        <v>8</v>
      </c>
      <c r="N349" s="31">
        <f t="shared" si="63"/>
        <v>12</v>
      </c>
      <c r="O349" s="8" t="str">
        <f t="shared" si="64"/>
        <v>Hitano-EXR</v>
      </c>
      <c r="P349" s="12" t="str">
        <f t="shared" si="60"/>
        <v>Hitano R-08.0x12.0</v>
      </c>
      <c r="Q349" s="12" t="str">
        <f t="shared" si="65"/>
        <v>3.3µF</v>
      </c>
      <c r="R349" s="12" t="str">
        <f t="shared" si="66"/>
        <v>250v</v>
      </c>
      <c r="S349" s="8" t="str">
        <f t="shared" si="61"/>
        <v>3.3µF 250v - R08.0-12.0 Hitano (EXR)</v>
      </c>
      <c r="T349" s="8">
        <f t="shared" si="67"/>
        <v>1</v>
      </c>
      <c r="U349" s="8" t="b">
        <f>NOT(ISNA(MATCH($P349,Packages!$A:$A,0)))</f>
        <v>1</v>
      </c>
    </row>
    <row r="350" spans="1:21">
      <c r="A350" s="6" t="s">
        <v>49</v>
      </c>
      <c r="B350" s="6" t="s">
        <v>52</v>
      </c>
      <c r="C350" s="33">
        <v>4.7</v>
      </c>
      <c r="D350" s="34">
        <v>250</v>
      </c>
      <c r="E350" s="6" t="s">
        <v>92</v>
      </c>
      <c r="F350" s="6" t="s">
        <v>59</v>
      </c>
      <c r="G350" s="6"/>
      <c r="H350" s="7" t="s">
        <v>142</v>
      </c>
      <c r="I350" s="7" t="str">
        <f t="shared" si="59"/>
        <v>HITANO</v>
      </c>
      <c r="J350" s="7" t="str">
        <f t="shared" si="68"/>
        <v>4.7µF</v>
      </c>
      <c r="K350" s="7" t="str">
        <f t="shared" si="69"/>
        <v>250v</v>
      </c>
      <c r="L350" s="7" t="str">
        <f t="shared" si="70"/>
        <v>EXR</v>
      </c>
      <c r="M350" s="31">
        <f t="shared" si="62"/>
        <v>10</v>
      </c>
      <c r="N350" s="31">
        <f t="shared" si="63"/>
        <v>12.5</v>
      </c>
      <c r="O350" s="8" t="str">
        <f t="shared" si="64"/>
        <v>Hitano-EXR</v>
      </c>
      <c r="P350" s="12" t="str">
        <f t="shared" si="60"/>
        <v>Hitano R-10.0x13.0</v>
      </c>
      <c r="Q350" s="12" t="str">
        <f t="shared" si="65"/>
        <v>4.7µF</v>
      </c>
      <c r="R350" s="12" t="str">
        <f t="shared" si="66"/>
        <v>250v</v>
      </c>
      <c r="S350" s="8" t="str">
        <f t="shared" si="61"/>
        <v>4.7µF 250v - R10.0-12.5 Hitano (EXR)</v>
      </c>
      <c r="T350" s="8">
        <f t="shared" si="67"/>
        <v>1</v>
      </c>
      <c r="U350" s="8" t="b">
        <f>NOT(ISNA(MATCH($P350,Packages!$A:$A,0)))</f>
        <v>1</v>
      </c>
    </row>
    <row r="351" spans="1:21">
      <c r="A351" s="6" t="s">
        <v>49</v>
      </c>
      <c r="B351" s="6" t="s">
        <v>52</v>
      </c>
      <c r="C351" s="33">
        <v>10</v>
      </c>
      <c r="D351" s="34">
        <v>250</v>
      </c>
      <c r="E351" s="6" t="s">
        <v>74</v>
      </c>
      <c r="F351" s="6" t="s">
        <v>59</v>
      </c>
      <c r="G351" s="6"/>
      <c r="H351" s="7" t="s">
        <v>142</v>
      </c>
      <c r="I351" s="7" t="str">
        <f t="shared" ref="I351:I386" si="71">UPPER($A351)</f>
        <v>HITANO</v>
      </c>
      <c r="J351" s="7" t="str">
        <f t="shared" si="68"/>
        <v>10µF</v>
      </c>
      <c r="K351" s="7" t="str">
        <f t="shared" si="69"/>
        <v>250v</v>
      </c>
      <c r="L351" s="7" t="str">
        <f t="shared" si="70"/>
        <v>EXR</v>
      </c>
      <c r="M351" s="31">
        <f t="shared" si="62"/>
        <v>10</v>
      </c>
      <c r="N351" s="31">
        <f t="shared" si="63"/>
        <v>16</v>
      </c>
      <c r="O351" s="8" t="str">
        <f t="shared" si="64"/>
        <v>Hitano-EXR</v>
      </c>
      <c r="P351" s="12" t="str">
        <f t="shared" si="60"/>
        <v>Hitano R-10.0x16.0</v>
      </c>
      <c r="Q351" s="12" t="str">
        <f t="shared" si="65"/>
        <v>10µF</v>
      </c>
      <c r="R351" s="12" t="str">
        <f t="shared" si="66"/>
        <v>250v</v>
      </c>
      <c r="S351" s="8" t="str">
        <f t="shared" si="61"/>
        <v>10µF 250v - R10.0-16.0 Hitano (EXR)</v>
      </c>
      <c r="T351" s="8">
        <f t="shared" si="67"/>
        <v>1</v>
      </c>
      <c r="U351" s="8" t="b">
        <f>NOT(ISNA(MATCH($P351,Packages!$A:$A,0)))</f>
        <v>1</v>
      </c>
    </row>
    <row r="352" spans="1:21">
      <c r="A352" s="6" t="s">
        <v>49</v>
      </c>
      <c r="B352" s="6" t="s">
        <v>52</v>
      </c>
      <c r="C352" s="33">
        <v>22</v>
      </c>
      <c r="D352" s="34">
        <v>250</v>
      </c>
      <c r="E352" s="6" t="s">
        <v>75</v>
      </c>
      <c r="F352" s="6" t="s">
        <v>59</v>
      </c>
      <c r="G352" s="6"/>
      <c r="H352" s="7" t="s">
        <v>142</v>
      </c>
      <c r="I352" s="7" t="str">
        <f t="shared" si="71"/>
        <v>HITANO</v>
      </c>
      <c r="J352" s="7" t="str">
        <f t="shared" si="68"/>
        <v>22µF</v>
      </c>
      <c r="K352" s="7" t="str">
        <f t="shared" si="69"/>
        <v>250v</v>
      </c>
      <c r="L352" s="7" t="str">
        <f t="shared" si="70"/>
        <v>EXR</v>
      </c>
      <c r="M352" s="31">
        <f t="shared" si="62"/>
        <v>10</v>
      </c>
      <c r="N352" s="31">
        <f t="shared" si="63"/>
        <v>21</v>
      </c>
      <c r="O352" s="8" t="str">
        <f t="shared" si="64"/>
        <v>Hitano-EXR</v>
      </c>
      <c r="P352" s="12" t="str">
        <f t="shared" si="60"/>
        <v>Hitano R-10.0x21.0</v>
      </c>
      <c r="Q352" s="12" t="str">
        <f t="shared" si="65"/>
        <v>22µF</v>
      </c>
      <c r="R352" s="12" t="str">
        <f t="shared" si="66"/>
        <v>250v</v>
      </c>
      <c r="S352" s="8" t="str">
        <f t="shared" si="61"/>
        <v>22µF 250v - R10.0-21.0 Hitano (EXR)</v>
      </c>
      <c r="T352" s="8">
        <f t="shared" si="67"/>
        <v>1</v>
      </c>
      <c r="U352" s="8" t="b">
        <f>NOT(ISNA(MATCH($P352,Packages!$A:$A,0)))</f>
        <v>1</v>
      </c>
    </row>
    <row r="353" spans="1:21">
      <c r="A353" s="6" t="s">
        <v>49</v>
      </c>
      <c r="B353" s="6" t="s">
        <v>52</v>
      </c>
      <c r="C353" s="33">
        <v>33</v>
      </c>
      <c r="D353" s="34">
        <v>250</v>
      </c>
      <c r="E353" s="6" t="s">
        <v>76</v>
      </c>
      <c r="F353" s="6" t="s">
        <v>59</v>
      </c>
      <c r="G353" s="6"/>
      <c r="H353" s="7" t="s">
        <v>142</v>
      </c>
      <c r="I353" s="7" t="str">
        <f t="shared" si="71"/>
        <v>HITANO</v>
      </c>
      <c r="J353" s="7" t="str">
        <f t="shared" si="68"/>
        <v>33µF</v>
      </c>
      <c r="K353" s="7" t="str">
        <f t="shared" si="69"/>
        <v>250v</v>
      </c>
      <c r="L353" s="7" t="str">
        <f t="shared" si="70"/>
        <v>EXR</v>
      </c>
      <c r="M353" s="31">
        <f t="shared" si="62"/>
        <v>13</v>
      </c>
      <c r="N353" s="31">
        <f t="shared" si="63"/>
        <v>21</v>
      </c>
      <c r="O353" s="8" t="str">
        <f t="shared" si="64"/>
        <v>Hitano-EXR</v>
      </c>
      <c r="P353" s="12" t="str">
        <f t="shared" si="60"/>
        <v>Hitano R-13.0x21.0</v>
      </c>
      <c r="Q353" s="12" t="str">
        <f t="shared" si="65"/>
        <v>33µF</v>
      </c>
      <c r="R353" s="12" t="str">
        <f t="shared" si="66"/>
        <v>250v</v>
      </c>
      <c r="S353" s="8" t="str">
        <f t="shared" si="61"/>
        <v>33µF 250v - R13.0-21.0 Hitano (EXR)</v>
      </c>
      <c r="T353" s="8">
        <f t="shared" si="67"/>
        <v>1</v>
      </c>
      <c r="U353" s="8" t="b">
        <f>NOT(ISNA(MATCH($P353,Packages!$A:$A,0)))</f>
        <v>1</v>
      </c>
    </row>
    <row r="354" spans="1:21">
      <c r="A354" s="6" t="s">
        <v>49</v>
      </c>
      <c r="B354" s="6" t="s">
        <v>52</v>
      </c>
      <c r="C354" s="33">
        <v>47</v>
      </c>
      <c r="D354" s="34">
        <v>250</v>
      </c>
      <c r="E354" s="6" t="s">
        <v>77</v>
      </c>
      <c r="F354" s="6" t="s">
        <v>59</v>
      </c>
      <c r="G354" s="6"/>
      <c r="H354" s="7" t="s">
        <v>142</v>
      </c>
      <c r="I354" s="7" t="str">
        <f t="shared" si="71"/>
        <v>HITANO</v>
      </c>
      <c r="J354" s="7" t="str">
        <f t="shared" si="68"/>
        <v>47µF</v>
      </c>
      <c r="K354" s="7" t="str">
        <f t="shared" si="69"/>
        <v>250v</v>
      </c>
      <c r="L354" s="7" t="str">
        <f t="shared" si="70"/>
        <v>EXR</v>
      </c>
      <c r="M354" s="31">
        <f t="shared" si="62"/>
        <v>13</v>
      </c>
      <c r="N354" s="31">
        <f t="shared" si="63"/>
        <v>26</v>
      </c>
      <c r="O354" s="8" t="str">
        <f t="shared" si="64"/>
        <v>Hitano-EXR</v>
      </c>
      <c r="P354" s="12" t="str">
        <f t="shared" si="60"/>
        <v>Hitano R-13.0x26.0</v>
      </c>
      <c r="Q354" s="12" t="str">
        <f t="shared" si="65"/>
        <v>47µF</v>
      </c>
      <c r="R354" s="12" t="str">
        <f t="shared" si="66"/>
        <v>250v</v>
      </c>
      <c r="S354" s="8" t="str">
        <f t="shared" si="61"/>
        <v>47µF 250v - R13.0-26.0 Hitano (EXR)</v>
      </c>
      <c r="T354" s="8">
        <f t="shared" si="67"/>
        <v>1</v>
      </c>
      <c r="U354" s="8" t="b">
        <f>NOT(ISNA(MATCH($P354,Packages!$A:$A,0)))</f>
        <v>1</v>
      </c>
    </row>
    <row r="355" spans="1:21">
      <c r="A355" s="6" t="s">
        <v>49</v>
      </c>
      <c r="B355" s="6" t="s">
        <v>52</v>
      </c>
      <c r="C355" s="33">
        <v>68</v>
      </c>
      <c r="D355" s="34">
        <v>250</v>
      </c>
      <c r="E355" s="6" t="s">
        <v>78</v>
      </c>
      <c r="F355" s="6" t="s">
        <v>59</v>
      </c>
      <c r="G355" s="6"/>
      <c r="H355" s="7" t="s">
        <v>142</v>
      </c>
      <c r="I355" s="7" t="str">
        <f t="shared" si="71"/>
        <v>HITANO</v>
      </c>
      <c r="J355" s="7" t="str">
        <f t="shared" si="68"/>
        <v>68µF</v>
      </c>
      <c r="K355" s="7" t="str">
        <f t="shared" si="69"/>
        <v>250v</v>
      </c>
      <c r="L355" s="7" t="str">
        <f t="shared" si="70"/>
        <v>EXR</v>
      </c>
      <c r="M355" s="31">
        <f t="shared" si="62"/>
        <v>16</v>
      </c>
      <c r="N355" s="31">
        <f t="shared" si="63"/>
        <v>26</v>
      </c>
      <c r="O355" s="8" t="str">
        <f t="shared" si="64"/>
        <v>Hitano-EXR</v>
      </c>
      <c r="P355" s="12" t="str">
        <f t="shared" si="60"/>
        <v>Hitano R-16.0x26.0</v>
      </c>
      <c r="Q355" s="12" t="str">
        <f t="shared" si="65"/>
        <v>68µF</v>
      </c>
      <c r="R355" s="12" t="str">
        <f t="shared" si="66"/>
        <v>250v</v>
      </c>
      <c r="S355" s="8" t="str">
        <f t="shared" si="61"/>
        <v>68µF 250v - R16.0-26.0 Hitano (EXR)</v>
      </c>
      <c r="T355" s="8">
        <f t="shared" si="67"/>
        <v>1</v>
      </c>
      <c r="U355" s="8" t="b">
        <f>NOT(ISNA(MATCH($P355,Packages!$A:$A,0)))</f>
        <v>1</v>
      </c>
    </row>
    <row r="356" spans="1:21">
      <c r="A356" s="6" t="s">
        <v>49</v>
      </c>
      <c r="B356" s="6" t="s">
        <v>52</v>
      </c>
      <c r="C356" s="33">
        <v>100</v>
      </c>
      <c r="D356" s="34">
        <v>250</v>
      </c>
      <c r="E356" s="6" t="s">
        <v>98</v>
      </c>
      <c r="F356" s="6" t="s">
        <v>59</v>
      </c>
      <c r="G356" s="6"/>
      <c r="H356" s="7" t="s">
        <v>142</v>
      </c>
      <c r="I356" s="7" t="str">
        <f t="shared" si="71"/>
        <v>HITANO</v>
      </c>
      <c r="J356" s="7" t="str">
        <f t="shared" si="68"/>
        <v>100µF</v>
      </c>
      <c r="K356" s="7" t="str">
        <f t="shared" si="69"/>
        <v>250v</v>
      </c>
      <c r="L356" s="7" t="str">
        <f t="shared" si="70"/>
        <v>EXR</v>
      </c>
      <c r="M356" s="31">
        <f t="shared" si="62"/>
        <v>16</v>
      </c>
      <c r="N356" s="31">
        <f t="shared" si="63"/>
        <v>31.5</v>
      </c>
      <c r="O356" s="8" t="str">
        <f t="shared" si="64"/>
        <v>Hitano-EXR</v>
      </c>
      <c r="P356" s="12" t="str">
        <f t="shared" si="60"/>
        <v>Hitano R-16.0x32.0</v>
      </c>
      <c r="Q356" s="12" t="str">
        <f t="shared" si="65"/>
        <v>100µF</v>
      </c>
      <c r="R356" s="12" t="str">
        <f t="shared" si="66"/>
        <v>250v</v>
      </c>
      <c r="S356" s="8" t="str">
        <f t="shared" si="61"/>
        <v>100µF 250v - R16.0-31.5 Hitano (EXR)</v>
      </c>
      <c r="T356" s="8">
        <f t="shared" si="67"/>
        <v>1</v>
      </c>
      <c r="U356" s="8" t="b">
        <f>NOT(ISNA(MATCH($P356,Packages!$A:$A,0)))</f>
        <v>1</v>
      </c>
    </row>
    <row r="357" spans="1:21">
      <c r="A357" s="6" t="s">
        <v>49</v>
      </c>
      <c r="B357" s="6" t="s">
        <v>52</v>
      </c>
      <c r="C357" s="33">
        <v>220</v>
      </c>
      <c r="D357" s="34">
        <v>250</v>
      </c>
      <c r="E357" s="6" t="s">
        <v>84</v>
      </c>
      <c r="F357" s="6" t="s">
        <v>59</v>
      </c>
      <c r="G357" s="6"/>
      <c r="H357" s="7" t="s">
        <v>142</v>
      </c>
      <c r="I357" s="7" t="str">
        <f t="shared" si="71"/>
        <v>HITANO</v>
      </c>
      <c r="J357" s="7" t="str">
        <f t="shared" si="68"/>
        <v>220µF</v>
      </c>
      <c r="K357" s="7" t="str">
        <f t="shared" si="69"/>
        <v>250v</v>
      </c>
      <c r="L357" s="7" t="str">
        <f t="shared" si="70"/>
        <v>EXR</v>
      </c>
      <c r="M357" s="31">
        <f t="shared" si="62"/>
        <v>18</v>
      </c>
      <c r="N357" s="31">
        <f t="shared" si="63"/>
        <v>41</v>
      </c>
      <c r="O357" s="8" t="str">
        <f t="shared" si="64"/>
        <v>Hitano-EXR</v>
      </c>
      <c r="P357" s="12" t="str">
        <f t="shared" si="60"/>
        <v>Hitano R-18.0x41.0</v>
      </c>
      <c r="Q357" s="12" t="str">
        <f t="shared" si="65"/>
        <v>220µF</v>
      </c>
      <c r="R357" s="12" t="str">
        <f t="shared" si="66"/>
        <v>250v</v>
      </c>
      <c r="S357" s="8" t="str">
        <f t="shared" si="61"/>
        <v>220µF 250v - R18.0-41.0 Hitano (EXR)</v>
      </c>
      <c r="T357" s="8">
        <f t="shared" si="67"/>
        <v>1</v>
      </c>
      <c r="U357" s="8" t="b">
        <f>NOT(ISNA(MATCH($P357,Packages!$A:$A,0)))</f>
        <v>1</v>
      </c>
    </row>
    <row r="358" spans="1:21">
      <c r="A358" s="6" t="s">
        <v>49</v>
      </c>
      <c r="B358" s="6" t="s">
        <v>52</v>
      </c>
      <c r="C358" s="33">
        <v>1</v>
      </c>
      <c r="D358" s="34">
        <v>350</v>
      </c>
      <c r="E358" s="6" t="s">
        <v>71</v>
      </c>
      <c r="F358" s="6" t="s">
        <v>59</v>
      </c>
      <c r="G358" s="6"/>
      <c r="H358" s="7" t="s">
        <v>142</v>
      </c>
      <c r="I358" s="7" t="str">
        <f t="shared" si="71"/>
        <v>HITANO</v>
      </c>
      <c r="J358" s="7" t="str">
        <f t="shared" si="68"/>
        <v>1µF</v>
      </c>
      <c r="K358" s="7" t="str">
        <f t="shared" si="69"/>
        <v>350v</v>
      </c>
      <c r="L358" s="7" t="str">
        <f t="shared" si="70"/>
        <v>EXR</v>
      </c>
      <c r="M358" s="31">
        <f t="shared" si="62"/>
        <v>8</v>
      </c>
      <c r="N358" s="31">
        <f t="shared" si="63"/>
        <v>12</v>
      </c>
      <c r="O358" s="8" t="str">
        <f t="shared" si="64"/>
        <v>Hitano-EXR</v>
      </c>
      <c r="P358" s="12" t="str">
        <f t="shared" si="60"/>
        <v>Hitano R-08.0x12.0</v>
      </c>
      <c r="Q358" s="12" t="str">
        <f t="shared" si="65"/>
        <v>1µF</v>
      </c>
      <c r="R358" s="12" t="str">
        <f t="shared" si="66"/>
        <v>350v</v>
      </c>
      <c r="S358" s="8" t="str">
        <f t="shared" si="61"/>
        <v>1µF 350v - R08.0-12.0 Hitano (EXR)</v>
      </c>
      <c r="T358" s="8">
        <f t="shared" si="67"/>
        <v>1</v>
      </c>
      <c r="U358" s="8" t="b">
        <f>NOT(ISNA(MATCH($P358,Packages!$A:$A,0)))</f>
        <v>1</v>
      </c>
    </row>
    <row r="359" spans="1:21">
      <c r="A359" s="6" t="s">
        <v>49</v>
      </c>
      <c r="B359" s="6" t="s">
        <v>52</v>
      </c>
      <c r="C359" s="33">
        <v>2.2000000000000002</v>
      </c>
      <c r="D359" s="34">
        <v>350</v>
      </c>
      <c r="E359" s="6" t="s">
        <v>92</v>
      </c>
      <c r="F359" s="6" t="s">
        <v>59</v>
      </c>
      <c r="G359" s="6"/>
      <c r="H359" s="7" t="s">
        <v>142</v>
      </c>
      <c r="I359" s="7" t="str">
        <f t="shared" si="71"/>
        <v>HITANO</v>
      </c>
      <c r="J359" s="7" t="str">
        <f t="shared" si="68"/>
        <v>2.2µF</v>
      </c>
      <c r="K359" s="7" t="str">
        <f t="shared" si="69"/>
        <v>350v</v>
      </c>
      <c r="L359" s="7" t="str">
        <f t="shared" si="70"/>
        <v>EXR</v>
      </c>
      <c r="M359" s="31">
        <f t="shared" si="62"/>
        <v>10</v>
      </c>
      <c r="N359" s="31">
        <f t="shared" si="63"/>
        <v>12.5</v>
      </c>
      <c r="O359" s="8" t="str">
        <f t="shared" si="64"/>
        <v>Hitano-EXR</v>
      </c>
      <c r="P359" s="12" t="str">
        <f t="shared" si="60"/>
        <v>Hitano R-10.0x13.0</v>
      </c>
      <c r="Q359" s="12" t="str">
        <f t="shared" si="65"/>
        <v>2.2µF</v>
      </c>
      <c r="R359" s="12" t="str">
        <f t="shared" si="66"/>
        <v>350v</v>
      </c>
      <c r="S359" s="8" t="str">
        <f t="shared" si="61"/>
        <v>2.2µF 350v - R10.0-12.5 Hitano (EXR)</v>
      </c>
      <c r="T359" s="8">
        <f t="shared" si="67"/>
        <v>1</v>
      </c>
      <c r="U359" s="8" t="b">
        <f>NOT(ISNA(MATCH($P359,Packages!$A:$A,0)))</f>
        <v>1</v>
      </c>
    </row>
    <row r="360" spans="1:21">
      <c r="A360" s="6" t="s">
        <v>49</v>
      </c>
      <c r="B360" s="6" t="s">
        <v>52</v>
      </c>
      <c r="C360" s="33">
        <v>3.3</v>
      </c>
      <c r="D360" s="34">
        <v>350</v>
      </c>
      <c r="E360" s="6" t="s">
        <v>92</v>
      </c>
      <c r="F360" s="6" t="s">
        <v>59</v>
      </c>
      <c r="G360" s="6"/>
      <c r="H360" s="7" t="s">
        <v>142</v>
      </c>
      <c r="I360" s="7" t="str">
        <f t="shared" si="71"/>
        <v>HITANO</v>
      </c>
      <c r="J360" s="7" t="str">
        <f t="shared" ref="J360:J386" si="72">Q360</f>
        <v>3.3µF</v>
      </c>
      <c r="K360" s="7" t="str">
        <f t="shared" ref="K360:K386" si="73">R360</f>
        <v>350v</v>
      </c>
      <c r="L360" s="7" t="str">
        <f t="shared" si="70"/>
        <v>EXR</v>
      </c>
      <c r="M360" s="31">
        <f t="shared" si="62"/>
        <v>10</v>
      </c>
      <c r="N360" s="31">
        <f t="shared" si="63"/>
        <v>12.5</v>
      </c>
      <c r="O360" s="8" t="str">
        <f t="shared" si="64"/>
        <v>Hitano-EXR</v>
      </c>
      <c r="P360" s="12" t="str">
        <f t="shared" si="60"/>
        <v>Hitano R-10.0x13.0</v>
      </c>
      <c r="Q360" s="12" t="str">
        <f t="shared" si="65"/>
        <v>3.3µF</v>
      </c>
      <c r="R360" s="12" t="str">
        <f t="shared" si="66"/>
        <v>350v</v>
      </c>
      <c r="S360" s="8" t="str">
        <f t="shared" si="61"/>
        <v>3.3µF 350v - R10.0-12.5 Hitano (EXR)</v>
      </c>
      <c r="T360" s="8">
        <f t="shared" si="67"/>
        <v>1</v>
      </c>
      <c r="U360" s="8" t="b">
        <f>NOT(ISNA(MATCH($P360,Packages!$A:$A,0)))</f>
        <v>1</v>
      </c>
    </row>
    <row r="361" spans="1:21">
      <c r="A361" s="6" t="s">
        <v>49</v>
      </c>
      <c r="B361" s="6" t="s">
        <v>52</v>
      </c>
      <c r="C361" s="33">
        <v>4.7</v>
      </c>
      <c r="D361" s="34">
        <v>350</v>
      </c>
      <c r="E361" s="6" t="s">
        <v>75</v>
      </c>
      <c r="F361" s="6" t="s">
        <v>59</v>
      </c>
      <c r="G361" s="6"/>
      <c r="H361" s="7" t="s">
        <v>142</v>
      </c>
      <c r="I361" s="7" t="str">
        <f t="shared" si="71"/>
        <v>HITANO</v>
      </c>
      <c r="J361" s="7" t="str">
        <f t="shared" si="72"/>
        <v>4.7µF</v>
      </c>
      <c r="K361" s="7" t="str">
        <f t="shared" si="73"/>
        <v>350v</v>
      </c>
      <c r="L361" s="7" t="str">
        <f t="shared" si="70"/>
        <v>EXR</v>
      </c>
      <c r="M361" s="31">
        <f t="shared" si="62"/>
        <v>10</v>
      </c>
      <c r="N361" s="31">
        <f t="shared" si="63"/>
        <v>21</v>
      </c>
      <c r="O361" s="8" t="str">
        <f t="shared" si="64"/>
        <v>Hitano-EXR</v>
      </c>
      <c r="P361" s="12" t="str">
        <f t="shared" si="60"/>
        <v>Hitano R-10.0x21.0</v>
      </c>
      <c r="Q361" s="12" t="str">
        <f t="shared" si="65"/>
        <v>4.7µF</v>
      </c>
      <c r="R361" s="12" t="str">
        <f t="shared" si="66"/>
        <v>350v</v>
      </c>
      <c r="S361" s="8" t="str">
        <f t="shared" si="61"/>
        <v>4.7µF 350v - R10.0-21.0 Hitano (EXR)</v>
      </c>
      <c r="T361" s="8">
        <f t="shared" si="67"/>
        <v>1</v>
      </c>
      <c r="U361" s="8" t="b">
        <f>NOT(ISNA(MATCH($P361,Packages!$A:$A,0)))</f>
        <v>1</v>
      </c>
    </row>
    <row r="362" spans="1:21">
      <c r="A362" s="6" t="s">
        <v>49</v>
      </c>
      <c r="B362" s="6" t="s">
        <v>52</v>
      </c>
      <c r="C362" s="33">
        <v>10</v>
      </c>
      <c r="D362" s="34">
        <v>350</v>
      </c>
      <c r="E362" s="6" t="s">
        <v>76</v>
      </c>
      <c r="F362" s="6" t="s">
        <v>59</v>
      </c>
      <c r="G362" s="6"/>
      <c r="H362" s="7" t="s">
        <v>142</v>
      </c>
      <c r="I362" s="7" t="str">
        <f t="shared" si="71"/>
        <v>HITANO</v>
      </c>
      <c r="J362" s="7" t="str">
        <f t="shared" si="72"/>
        <v>10µF</v>
      </c>
      <c r="K362" s="7" t="str">
        <f t="shared" si="73"/>
        <v>350v</v>
      </c>
      <c r="L362" s="7" t="str">
        <f t="shared" si="70"/>
        <v>EXR</v>
      </c>
      <c r="M362" s="31">
        <f t="shared" si="62"/>
        <v>13</v>
      </c>
      <c r="N362" s="31">
        <f t="shared" si="63"/>
        <v>21</v>
      </c>
      <c r="O362" s="8" t="str">
        <f t="shared" si="64"/>
        <v>Hitano-EXR</v>
      </c>
      <c r="P362" s="12" t="str">
        <f t="shared" si="60"/>
        <v>Hitano R-13.0x21.0</v>
      </c>
      <c r="Q362" s="12" t="str">
        <f t="shared" si="65"/>
        <v>10µF</v>
      </c>
      <c r="R362" s="12" t="str">
        <f t="shared" si="66"/>
        <v>350v</v>
      </c>
      <c r="S362" s="8" t="str">
        <f t="shared" si="61"/>
        <v>10µF 350v - R13.0-21.0 Hitano (EXR)</v>
      </c>
      <c r="T362" s="8">
        <f t="shared" si="67"/>
        <v>1</v>
      </c>
      <c r="U362" s="8" t="b">
        <f>NOT(ISNA(MATCH($P362,Packages!$A:$A,0)))</f>
        <v>1</v>
      </c>
    </row>
    <row r="363" spans="1:21">
      <c r="A363" s="6" t="s">
        <v>49</v>
      </c>
      <c r="B363" s="6" t="s">
        <v>52</v>
      </c>
      <c r="C363" s="33">
        <v>22</v>
      </c>
      <c r="D363" s="34">
        <v>350</v>
      </c>
      <c r="E363" s="6" t="s">
        <v>76</v>
      </c>
      <c r="F363" s="6" t="s">
        <v>59</v>
      </c>
      <c r="G363" s="6"/>
      <c r="H363" s="7" t="s">
        <v>142</v>
      </c>
      <c r="I363" s="7" t="str">
        <f t="shared" si="71"/>
        <v>HITANO</v>
      </c>
      <c r="J363" s="7" t="str">
        <f t="shared" si="72"/>
        <v>22µF</v>
      </c>
      <c r="K363" s="7" t="str">
        <f t="shared" si="73"/>
        <v>350v</v>
      </c>
      <c r="L363" s="7" t="str">
        <f t="shared" si="70"/>
        <v>EXR</v>
      </c>
      <c r="M363" s="31">
        <f t="shared" si="62"/>
        <v>13</v>
      </c>
      <c r="N363" s="31">
        <f t="shared" si="63"/>
        <v>21</v>
      </c>
      <c r="O363" s="8" t="str">
        <f t="shared" si="64"/>
        <v>Hitano-EXR</v>
      </c>
      <c r="P363" s="12" t="str">
        <f t="shared" si="60"/>
        <v>Hitano R-13.0x21.0</v>
      </c>
      <c r="Q363" s="12" t="str">
        <f t="shared" si="65"/>
        <v>22µF</v>
      </c>
      <c r="R363" s="12" t="str">
        <f t="shared" si="66"/>
        <v>350v</v>
      </c>
      <c r="S363" s="8" t="str">
        <f t="shared" si="61"/>
        <v>22µF 350v - R13.0-21.0 Hitano (EXR)</v>
      </c>
      <c r="T363" s="8">
        <f t="shared" si="67"/>
        <v>1</v>
      </c>
      <c r="U363" s="8" t="b">
        <f>NOT(ISNA(MATCH($P363,Packages!$A:$A,0)))</f>
        <v>1</v>
      </c>
    </row>
    <row r="364" spans="1:21">
      <c r="A364" s="6" t="s">
        <v>49</v>
      </c>
      <c r="B364" s="6" t="s">
        <v>52</v>
      </c>
      <c r="C364" s="33">
        <v>33</v>
      </c>
      <c r="D364" s="34">
        <v>350</v>
      </c>
      <c r="E364" s="6" t="s">
        <v>77</v>
      </c>
      <c r="F364" s="6" t="s">
        <v>59</v>
      </c>
      <c r="G364" s="6"/>
      <c r="H364" s="7" t="s">
        <v>142</v>
      </c>
      <c r="I364" s="7" t="str">
        <f t="shared" si="71"/>
        <v>HITANO</v>
      </c>
      <c r="J364" s="7" t="str">
        <f t="shared" si="72"/>
        <v>33µF</v>
      </c>
      <c r="K364" s="7" t="str">
        <f t="shared" si="73"/>
        <v>350v</v>
      </c>
      <c r="L364" s="7" t="str">
        <f t="shared" si="70"/>
        <v>EXR</v>
      </c>
      <c r="M364" s="31">
        <f t="shared" si="62"/>
        <v>13</v>
      </c>
      <c r="N364" s="31">
        <f t="shared" si="63"/>
        <v>26</v>
      </c>
      <c r="O364" s="8" t="str">
        <f t="shared" si="64"/>
        <v>Hitano-EXR</v>
      </c>
      <c r="P364" s="12" t="str">
        <f t="shared" si="60"/>
        <v>Hitano R-13.0x26.0</v>
      </c>
      <c r="Q364" s="12" t="str">
        <f t="shared" si="65"/>
        <v>33µF</v>
      </c>
      <c r="R364" s="12" t="str">
        <f t="shared" si="66"/>
        <v>350v</v>
      </c>
      <c r="S364" s="8" t="str">
        <f t="shared" si="61"/>
        <v>33µF 350v - R13.0-26.0 Hitano (EXR)</v>
      </c>
      <c r="T364" s="8">
        <f t="shared" si="67"/>
        <v>1</v>
      </c>
      <c r="U364" s="8" t="b">
        <f>NOT(ISNA(MATCH($P364,Packages!$A:$A,0)))</f>
        <v>1</v>
      </c>
    </row>
    <row r="365" spans="1:21">
      <c r="A365" s="6" t="s">
        <v>49</v>
      </c>
      <c r="B365" s="6" t="s">
        <v>52</v>
      </c>
      <c r="C365" s="33">
        <v>47</v>
      </c>
      <c r="D365" s="34">
        <v>350</v>
      </c>
      <c r="E365" s="6" t="s">
        <v>98</v>
      </c>
      <c r="F365" s="6" t="s">
        <v>59</v>
      </c>
      <c r="G365" s="6"/>
      <c r="H365" s="7" t="s">
        <v>142</v>
      </c>
      <c r="I365" s="7" t="str">
        <f t="shared" si="71"/>
        <v>HITANO</v>
      </c>
      <c r="J365" s="7" t="str">
        <f t="shared" si="72"/>
        <v>47µF</v>
      </c>
      <c r="K365" s="7" t="str">
        <f t="shared" si="73"/>
        <v>350v</v>
      </c>
      <c r="L365" s="7" t="str">
        <f t="shared" si="70"/>
        <v>EXR</v>
      </c>
      <c r="M365" s="31">
        <f t="shared" si="62"/>
        <v>16</v>
      </c>
      <c r="N365" s="31">
        <f t="shared" si="63"/>
        <v>31.5</v>
      </c>
      <c r="O365" s="8" t="str">
        <f t="shared" si="64"/>
        <v>Hitano-EXR</v>
      </c>
      <c r="P365" s="12" t="str">
        <f t="shared" si="60"/>
        <v>Hitano R-16.0x32.0</v>
      </c>
      <c r="Q365" s="12" t="str">
        <f t="shared" si="65"/>
        <v>47µF</v>
      </c>
      <c r="R365" s="12" t="str">
        <f t="shared" si="66"/>
        <v>350v</v>
      </c>
      <c r="S365" s="8" t="str">
        <f t="shared" si="61"/>
        <v>47µF 350v - R16.0-31.5 Hitano (EXR)</v>
      </c>
      <c r="T365" s="8">
        <f t="shared" si="67"/>
        <v>1</v>
      </c>
      <c r="U365" s="8" t="b">
        <f>NOT(ISNA(MATCH($P365,Packages!$A:$A,0)))</f>
        <v>1</v>
      </c>
    </row>
    <row r="366" spans="1:21">
      <c r="A366" s="6" t="s">
        <v>49</v>
      </c>
      <c r="B366" s="6" t="s">
        <v>52</v>
      </c>
      <c r="C366" s="33">
        <v>68</v>
      </c>
      <c r="D366" s="34">
        <v>350</v>
      </c>
      <c r="E366" s="6" t="s">
        <v>98</v>
      </c>
      <c r="F366" s="6" t="s">
        <v>59</v>
      </c>
      <c r="G366" s="6"/>
      <c r="H366" s="7" t="s">
        <v>142</v>
      </c>
      <c r="I366" s="7" t="str">
        <f t="shared" si="71"/>
        <v>HITANO</v>
      </c>
      <c r="J366" s="7" t="str">
        <f t="shared" si="72"/>
        <v>68µF</v>
      </c>
      <c r="K366" s="7" t="str">
        <f t="shared" si="73"/>
        <v>350v</v>
      </c>
      <c r="L366" s="7" t="str">
        <f t="shared" si="70"/>
        <v>EXR</v>
      </c>
      <c r="M366" s="31">
        <f t="shared" si="62"/>
        <v>16</v>
      </c>
      <c r="N366" s="31">
        <f t="shared" si="63"/>
        <v>31.5</v>
      </c>
      <c r="O366" s="8" t="str">
        <f t="shared" si="64"/>
        <v>Hitano-EXR</v>
      </c>
      <c r="P366" s="12" t="str">
        <f t="shared" si="60"/>
        <v>Hitano R-16.0x32.0</v>
      </c>
      <c r="Q366" s="12" t="str">
        <f t="shared" si="65"/>
        <v>68µF</v>
      </c>
      <c r="R366" s="12" t="str">
        <f t="shared" si="66"/>
        <v>350v</v>
      </c>
      <c r="S366" s="8" t="str">
        <f t="shared" si="61"/>
        <v>68µF 350v - R16.0-31.5 Hitano (EXR)</v>
      </c>
      <c r="T366" s="8">
        <f t="shared" si="67"/>
        <v>1</v>
      </c>
      <c r="U366" s="8" t="b">
        <f>NOT(ISNA(MATCH($P366,Packages!$A:$A,0)))</f>
        <v>1</v>
      </c>
    </row>
    <row r="367" spans="1:21">
      <c r="A367" s="6" t="s">
        <v>49</v>
      </c>
      <c r="B367" s="6" t="s">
        <v>52</v>
      </c>
      <c r="C367" s="33">
        <v>100</v>
      </c>
      <c r="D367" s="34">
        <v>350</v>
      </c>
      <c r="E367" s="6" t="s">
        <v>80</v>
      </c>
      <c r="F367" s="6" t="s">
        <v>59</v>
      </c>
      <c r="G367" s="6"/>
      <c r="H367" s="7" t="s">
        <v>142</v>
      </c>
      <c r="I367" s="7" t="str">
        <f t="shared" si="71"/>
        <v>HITANO</v>
      </c>
      <c r="J367" s="7" t="str">
        <f t="shared" si="72"/>
        <v>100µF</v>
      </c>
      <c r="K367" s="7" t="str">
        <f t="shared" si="73"/>
        <v>350v</v>
      </c>
      <c r="L367" s="7" t="str">
        <f t="shared" si="70"/>
        <v>EXR</v>
      </c>
      <c r="M367" s="31">
        <f t="shared" si="62"/>
        <v>18</v>
      </c>
      <c r="N367" s="31">
        <f t="shared" si="63"/>
        <v>36</v>
      </c>
      <c r="O367" s="8" t="str">
        <f t="shared" si="64"/>
        <v>Hitano-EXR</v>
      </c>
      <c r="P367" s="12" t="str">
        <f t="shared" si="60"/>
        <v>Hitano R-18.0x36.0</v>
      </c>
      <c r="Q367" s="12" t="str">
        <f t="shared" si="65"/>
        <v>100µF</v>
      </c>
      <c r="R367" s="12" t="str">
        <f t="shared" si="66"/>
        <v>350v</v>
      </c>
      <c r="S367" s="8" t="str">
        <f t="shared" si="61"/>
        <v>100µF 350v - R18.0-36.0 Hitano (EXR)</v>
      </c>
      <c r="T367" s="8">
        <f t="shared" si="67"/>
        <v>1</v>
      </c>
      <c r="U367" s="8" t="b">
        <f>NOT(ISNA(MATCH($P367,Packages!$A:$A,0)))</f>
        <v>1</v>
      </c>
    </row>
    <row r="368" spans="1:21">
      <c r="A368" s="6" t="s">
        <v>49</v>
      </c>
      <c r="B368" s="6" t="s">
        <v>52</v>
      </c>
      <c r="C368" s="33">
        <v>1</v>
      </c>
      <c r="D368" s="34">
        <v>400</v>
      </c>
      <c r="E368" s="6" t="s">
        <v>71</v>
      </c>
      <c r="F368" s="6" t="s">
        <v>59</v>
      </c>
      <c r="G368" s="6"/>
      <c r="H368" s="7" t="s">
        <v>142</v>
      </c>
      <c r="I368" s="7" t="str">
        <f t="shared" si="71"/>
        <v>HITANO</v>
      </c>
      <c r="J368" s="7" t="str">
        <f t="shared" si="72"/>
        <v>1µF</v>
      </c>
      <c r="K368" s="7" t="str">
        <f t="shared" si="73"/>
        <v>400v</v>
      </c>
      <c r="L368" s="7" t="str">
        <f t="shared" si="70"/>
        <v>EXR</v>
      </c>
      <c r="M368" s="31">
        <f t="shared" si="62"/>
        <v>8</v>
      </c>
      <c r="N368" s="31">
        <f t="shared" si="63"/>
        <v>12</v>
      </c>
      <c r="O368" s="8" t="str">
        <f t="shared" si="64"/>
        <v>Hitano-EXR</v>
      </c>
      <c r="P368" s="12" t="str">
        <f t="shared" si="60"/>
        <v>Hitano R-08.0x12.0</v>
      </c>
      <c r="Q368" s="12" t="str">
        <f t="shared" si="65"/>
        <v>1µF</v>
      </c>
      <c r="R368" s="12" t="str">
        <f t="shared" si="66"/>
        <v>400v</v>
      </c>
      <c r="S368" s="8" t="str">
        <f t="shared" si="61"/>
        <v>1µF 400v - R08.0-12.0 Hitano (EXR)</v>
      </c>
      <c r="T368" s="8">
        <f t="shared" si="67"/>
        <v>1</v>
      </c>
      <c r="U368" s="8" t="b">
        <f>NOT(ISNA(MATCH($P368,Packages!$A:$A,0)))</f>
        <v>1</v>
      </c>
    </row>
    <row r="369" spans="1:21">
      <c r="A369" s="6" t="s">
        <v>49</v>
      </c>
      <c r="B369" s="6" t="s">
        <v>52</v>
      </c>
      <c r="C369" s="33">
        <v>2.2000000000000002</v>
      </c>
      <c r="D369" s="34">
        <v>400</v>
      </c>
      <c r="E369" s="6" t="s">
        <v>92</v>
      </c>
      <c r="F369" s="6" t="s">
        <v>59</v>
      </c>
      <c r="G369" s="6"/>
      <c r="H369" s="7" t="s">
        <v>142</v>
      </c>
      <c r="I369" s="7" t="str">
        <f t="shared" si="71"/>
        <v>HITANO</v>
      </c>
      <c r="J369" s="7" t="str">
        <f t="shared" si="72"/>
        <v>2.2µF</v>
      </c>
      <c r="K369" s="7" t="str">
        <f t="shared" si="73"/>
        <v>400v</v>
      </c>
      <c r="L369" s="7" t="str">
        <f t="shared" si="70"/>
        <v>EXR</v>
      </c>
      <c r="M369" s="31">
        <f t="shared" si="62"/>
        <v>10</v>
      </c>
      <c r="N369" s="31">
        <f t="shared" si="63"/>
        <v>12.5</v>
      </c>
      <c r="O369" s="8" t="str">
        <f t="shared" si="64"/>
        <v>Hitano-EXR</v>
      </c>
      <c r="P369" s="12" t="str">
        <f t="shared" si="60"/>
        <v>Hitano R-10.0x13.0</v>
      </c>
      <c r="Q369" s="12" t="str">
        <f t="shared" si="65"/>
        <v>2.2µF</v>
      </c>
      <c r="R369" s="12" t="str">
        <f t="shared" si="66"/>
        <v>400v</v>
      </c>
      <c r="S369" s="8" t="str">
        <f t="shared" si="61"/>
        <v>2.2µF 400v - R10.0-12.5 Hitano (EXR)</v>
      </c>
      <c r="T369" s="8">
        <f t="shared" si="67"/>
        <v>1</v>
      </c>
      <c r="U369" s="8" t="b">
        <f>NOT(ISNA(MATCH($P369,Packages!$A:$A,0)))</f>
        <v>1</v>
      </c>
    </row>
    <row r="370" spans="1:21">
      <c r="A370" s="6" t="s">
        <v>49</v>
      </c>
      <c r="B370" s="6" t="s">
        <v>52</v>
      </c>
      <c r="C370" s="33">
        <v>3.3</v>
      </c>
      <c r="D370" s="34">
        <v>400</v>
      </c>
      <c r="E370" s="6" t="s">
        <v>92</v>
      </c>
      <c r="F370" s="6" t="s">
        <v>59</v>
      </c>
      <c r="G370" s="6"/>
      <c r="H370" s="7" t="s">
        <v>142</v>
      </c>
      <c r="I370" s="7" t="str">
        <f t="shared" si="71"/>
        <v>HITANO</v>
      </c>
      <c r="J370" s="7" t="str">
        <f t="shared" si="72"/>
        <v>3.3µF</v>
      </c>
      <c r="K370" s="7" t="str">
        <f t="shared" si="73"/>
        <v>400v</v>
      </c>
      <c r="L370" s="7" t="str">
        <f t="shared" si="70"/>
        <v>EXR</v>
      </c>
      <c r="M370" s="31">
        <f t="shared" si="62"/>
        <v>10</v>
      </c>
      <c r="N370" s="31">
        <f t="shared" si="63"/>
        <v>12.5</v>
      </c>
      <c r="O370" s="8" t="str">
        <f t="shared" si="64"/>
        <v>Hitano-EXR</v>
      </c>
      <c r="P370" s="12" t="str">
        <f t="shared" si="60"/>
        <v>Hitano R-10.0x13.0</v>
      </c>
      <c r="Q370" s="12" t="str">
        <f t="shared" si="65"/>
        <v>3.3µF</v>
      </c>
      <c r="R370" s="12" t="str">
        <f t="shared" si="66"/>
        <v>400v</v>
      </c>
      <c r="S370" s="8" t="str">
        <f t="shared" si="61"/>
        <v>3.3µF 400v - R10.0-12.5 Hitano (EXR)</v>
      </c>
      <c r="T370" s="8">
        <f t="shared" si="67"/>
        <v>1</v>
      </c>
      <c r="U370" s="8" t="b">
        <f>NOT(ISNA(MATCH($P370,Packages!$A:$A,0)))</f>
        <v>1</v>
      </c>
    </row>
    <row r="371" spans="1:21">
      <c r="A371" s="6" t="s">
        <v>49</v>
      </c>
      <c r="B371" s="6" t="s">
        <v>52</v>
      </c>
      <c r="C371" s="33">
        <v>4.7</v>
      </c>
      <c r="D371" s="34">
        <v>400</v>
      </c>
      <c r="E371" s="6" t="s">
        <v>75</v>
      </c>
      <c r="F371" s="6" t="s">
        <v>59</v>
      </c>
      <c r="G371" s="6"/>
      <c r="H371" s="7" t="s">
        <v>142</v>
      </c>
      <c r="I371" s="7" t="str">
        <f t="shared" si="71"/>
        <v>HITANO</v>
      </c>
      <c r="J371" s="7" t="str">
        <f t="shared" si="72"/>
        <v>4.7µF</v>
      </c>
      <c r="K371" s="7" t="str">
        <f t="shared" si="73"/>
        <v>400v</v>
      </c>
      <c r="L371" s="7" t="str">
        <f t="shared" si="70"/>
        <v>EXR</v>
      </c>
      <c r="M371" s="31">
        <f t="shared" si="62"/>
        <v>10</v>
      </c>
      <c r="N371" s="31">
        <f t="shared" si="63"/>
        <v>21</v>
      </c>
      <c r="O371" s="8" t="str">
        <f t="shared" si="64"/>
        <v>Hitano-EXR</v>
      </c>
      <c r="P371" s="12" t="str">
        <f t="shared" si="60"/>
        <v>Hitano R-10.0x21.0</v>
      </c>
      <c r="Q371" s="12" t="str">
        <f t="shared" si="65"/>
        <v>4.7µF</v>
      </c>
      <c r="R371" s="12" t="str">
        <f t="shared" si="66"/>
        <v>400v</v>
      </c>
      <c r="S371" s="8" t="str">
        <f t="shared" si="61"/>
        <v>4.7µF 400v - R10.0-21.0 Hitano (EXR)</v>
      </c>
      <c r="T371" s="8">
        <f t="shared" si="67"/>
        <v>1</v>
      </c>
      <c r="U371" s="8" t="b">
        <f>NOT(ISNA(MATCH($P371,Packages!$A:$A,0)))</f>
        <v>1</v>
      </c>
    </row>
    <row r="372" spans="1:21">
      <c r="A372" s="6" t="s">
        <v>49</v>
      </c>
      <c r="B372" s="6" t="s">
        <v>52</v>
      </c>
      <c r="C372" s="33">
        <v>10</v>
      </c>
      <c r="D372" s="34">
        <v>400</v>
      </c>
      <c r="E372" s="6" t="s">
        <v>76</v>
      </c>
      <c r="F372" s="6" t="s">
        <v>59</v>
      </c>
      <c r="G372" s="6"/>
      <c r="H372" s="7" t="s">
        <v>142</v>
      </c>
      <c r="I372" s="7" t="str">
        <f t="shared" si="71"/>
        <v>HITANO</v>
      </c>
      <c r="J372" s="7" t="str">
        <f t="shared" si="72"/>
        <v>10µF</v>
      </c>
      <c r="K372" s="7" t="str">
        <f t="shared" si="73"/>
        <v>400v</v>
      </c>
      <c r="L372" s="7" t="str">
        <f t="shared" si="70"/>
        <v>EXR</v>
      </c>
      <c r="M372" s="31">
        <f t="shared" si="62"/>
        <v>13</v>
      </c>
      <c r="N372" s="31">
        <f t="shared" si="63"/>
        <v>21</v>
      </c>
      <c r="O372" s="8" t="str">
        <f t="shared" si="64"/>
        <v>Hitano-EXR</v>
      </c>
      <c r="P372" s="12" t="str">
        <f t="shared" si="60"/>
        <v>Hitano R-13.0x21.0</v>
      </c>
      <c r="Q372" s="12" t="str">
        <f t="shared" si="65"/>
        <v>10µF</v>
      </c>
      <c r="R372" s="12" t="str">
        <f t="shared" si="66"/>
        <v>400v</v>
      </c>
      <c r="S372" s="8" t="str">
        <f t="shared" si="61"/>
        <v>10µF 400v - R13.0-21.0 Hitano (EXR)</v>
      </c>
      <c r="T372" s="8">
        <f t="shared" si="67"/>
        <v>1</v>
      </c>
      <c r="U372" s="8" t="b">
        <f>NOT(ISNA(MATCH($P372,Packages!$A:$A,0)))</f>
        <v>1</v>
      </c>
    </row>
    <row r="373" spans="1:21">
      <c r="A373" s="6" t="s">
        <v>49</v>
      </c>
      <c r="B373" s="6" t="s">
        <v>52</v>
      </c>
      <c r="C373" s="33">
        <v>22</v>
      </c>
      <c r="D373" s="34">
        <v>400</v>
      </c>
      <c r="E373" s="6" t="s">
        <v>77</v>
      </c>
      <c r="F373" s="6" t="s">
        <v>59</v>
      </c>
      <c r="G373" s="6"/>
      <c r="H373" s="7" t="s">
        <v>142</v>
      </c>
      <c r="I373" s="7" t="str">
        <f t="shared" si="71"/>
        <v>HITANO</v>
      </c>
      <c r="J373" s="7" t="str">
        <f t="shared" si="72"/>
        <v>22µF</v>
      </c>
      <c r="K373" s="7" t="str">
        <f t="shared" si="73"/>
        <v>400v</v>
      </c>
      <c r="L373" s="7" t="str">
        <f t="shared" si="70"/>
        <v>EXR</v>
      </c>
      <c r="M373" s="31">
        <f t="shared" si="62"/>
        <v>13</v>
      </c>
      <c r="N373" s="31">
        <f t="shared" si="63"/>
        <v>26</v>
      </c>
      <c r="O373" s="8" t="str">
        <f t="shared" si="64"/>
        <v>Hitano-EXR</v>
      </c>
      <c r="P373" s="12" t="str">
        <f t="shared" si="60"/>
        <v>Hitano R-13.0x26.0</v>
      </c>
      <c r="Q373" s="12" t="str">
        <f t="shared" si="65"/>
        <v>22µF</v>
      </c>
      <c r="R373" s="12" t="str">
        <f t="shared" si="66"/>
        <v>400v</v>
      </c>
      <c r="S373" s="8" t="str">
        <f t="shared" si="61"/>
        <v>22µF 400v - R13.0-26.0 Hitano (EXR)</v>
      </c>
      <c r="T373" s="8">
        <f t="shared" si="67"/>
        <v>1</v>
      </c>
      <c r="U373" s="8" t="b">
        <f>NOT(ISNA(MATCH($P373,Packages!$A:$A,0)))</f>
        <v>1</v>
      </c>
    </row>
    <row r="374" spans="1:21">
      <c r="A374" s="6" t="s">
        <v>49</v>
      </c>
      <c r="B374" s="6" t="s">
        <v>52</v>
      </c>
      <c r="C374" s="33">
        <v>33</v>
      </c>
      <c r="D374" s="34">
        <v>400</v>
      </c>
      <c r="E374" s="6" t="s">
        <v>78</v>
      </c>
      <c r="F374" s="6" t="s">
        <v>59</v>
      </c>
      <c r="G374" s="6"/>
      <c r="H374" s="7" t="s">
        <v>142</v>
      </c>
      <c r="I374" s="7" t="str">
        <f t="shared" si="71"/>
        <v>HITANO</v>
      </c>
      <c r="J374" s="7" t="str">
        <f t="shared" si="72"/>
        <v>33µF</v>
      </c>
      <c r="K374" s="7" t="str">
        <f t="shared" si="73"/>
        <v>400v</v>
      </c>
      <c r="L374" s="7" t="str">
        <f t="shared" si="70"/>
        <v>EXR</v>
      </c>
      <c r="M374" s="31">
        <f t="shared" si="62"/>
        <v>16</v>
      </c>
      <c r="N374" s="31">
        <f t="shared" si="63"/>
        <v>26</v>
      </c>
      <c r="O374" s="8" t="str">
        <f t="shared" si="64"/>
        <v>Hitano-EXR</v>
      </c>
      <c r="P374" s="12" t="str">
        <f t="shared" si="60"/>
        <v>Hitano R-16.0x26.0</v>
      </c>
      <c r="Q374" s="12" t="str">
        <f t="shared" si="65"/>
        <v>33µF</v>
      </c>
      <c r="R374" s="12" t="str">
        <f t="shared" si="66"/>
        <v>400v</v>
      </c>
      <c r="S374" s="8" t="str">
        <f t="shared" si="61"/>
        <v>33µF 400v - R16.0-26.0 Hitano (EXR)</v>
      </c>
      <c r="T374" s="8">
        <f t="shared" si="67"/>
        <v>1</v>
      </c>
      <c r="U374" s="8" t="b">
        <f>NOT(ISNA(MATCH($P374,Packages!$A:$A,0)))</f>
        <v>1</v>
      </c>
    </row>
    <row r="375" spans="1:21">
      <c r="A375" s="6" t="s">
        <v>49</v>
      </c>
      <c r="B375" s="6" t="s">
        <v>52</v>
      </c>
      <c r="C375" s="33">
        <v>47</v>
      </c>
      <c r="D375" s="34">
        <v>400</v>
      </c>
      <c r="E375" s="6" t="s">
        <v>98</v>
      </c>
      <c r="F375" s="6" t="s">
        <v>59</v>
      </c>
      <c r="G375" s="6"/>
      <c r="H375" s="7" t="s">
        <v>142</v>
      </c>
      <c r="I375" s="7" t="str">
        <f t="shared" si="71"/>
        <v>HITANO</v>
      </c>
      <c r="J375" s="7" t="str">
        <f t="shared" si="72"/>
        <v>47µF</v>
      </c>
      <c r="K375" s="7" t="str">
        <f t="shared" si="73"/>
        <v>400v</v>
      </c>
      <c r="L375" s="7" t="str">
        <f t="shared" si="70"/>
        <v>EXR</v>
      </c>
      <c r="M375" s="31">
        <f t="shared" si="62"/>
        <v>16</v>
      </c>
      <c r="N375" s="31">
        <f t="shared" si="63"/>
        <v>31.5</v>
      </c>
      <c r="O375" s="8" t="str">
        <f t="shared" si="64"/>
        <v>Hitano-EXR</v>
      </c>
      <c r="P375" s="12" t="str">
        <f t="shared" si="60"/>
        <v>Hitano R-16.0x32.0</v>
      </c>
      <c r="Q375" s="12" t="str">
        <f t="shared" si="65"/>
        <v>47µF</v>
      </c>
      <c r="R375" s="12" t="str">
        <f t="shared" si="66"/>
        <v>400v</v>
      </c>
      <c r="S375" s="8" t="str">
        <f t="shared" si="61"/>
        <v>47µF 400v - R16.0-31.5 Hitano (EXR)</v>
      </c>
      <c r="T375" s="8">
        <f t="shared" si="67"/>
        <v>1</v>
      </c>
      <c r="U375" s="8" t="b">
        <f>NOT(ISNA(MATCH($P375,Packages!$A:$A,0)))</f>
        <v>1</v>
      </c>
    </row>
    <row r="376" spans="1:21">
      <c r="A376" s="6" t="s">
        <v>49</v>
      </c>
      <c r="B376" s="6" t="s">
        <v>52</v>
      </c>
      <c r="C376" s="33">
        <v>68</v>
      </c>
      <c r="D376" s="34">
        <v>400</v>
      </c>
      <c r="E376" s="6" t="s">
        <v>114</v>
      </c>
      <c r="F376" s="6" t="s">
        <v>59</v>
      </c>
      <c r="G376" s="6"/>
      <c r="H376" s="7" t="s">
        <v>142</v>
      </c>
      <c r="I376" s="7" t="str">
        <f t="shared" si="71"/>
        <v>HITANO</v>
      </c>
      <c r="J376" s="7" t="str">
        <f t="shared" si="72"/>
        <v>68µF</v>
      </c>
      <c r="K376" s="7" t="str">
        <f t="shared" si="73"/>
        <v>400v</v>
      </c>
      <c r="L376" s="7" t="str">
        <f t="shared" si="70"/>
        <v>EXR</v>
      </c>
      <c r="M376" s="31">
        <f t="shared" si="62"/>
        <v>18</v>
      </c>
      <c r="N376" s="31">
        <f t="shared" si="63"/>
        <v>32</v>
      </c>
      <c r="O376" s="8" t="str">
        <f t="shared" si="64"/>
        <v>Hitano-EXR</v>
      </c>
      <c r="P376" s="12" t="str">
        <f t="shared" si="60"/>
        <v>Hitano R-18.0x32.0</v>
      </c>
      <c r="Q376" s="12" t="str">
        <f t="shared" si="65"/>
        <v>68µF</v>
      </c>
      <c r="R376" s="12" t="str">
        <f t="shared" si="66"/>
        <v>400v</v>
      </c>
      <c r="S376" s="8" t="str">
        <f t="shared" si="61"/>
        <v>68µF 400v - R18.0-32.0 Hitano (EXR)</v>
      </c>
      <c r="T376" s="8">
        <f t="shared" si="67"/>
        <v>1</v>
      </c>
      <c r="U376" s="8" t="b">
        <f>NOT(ISNA(MATCH($P376,Packages!$A:$A,0)))</f>
        <v>1</v>
      </c>
    </row>
    <row r="377" spans="1:21">
      <c r="A377" s="6" t="s">
        <v>49</v>
      </c>
      <c r="B377" s="6" t="s">
        <v>52</v>
      </c>
      <c r="C377" s="33">
        <v>100</v>
      </c>
      <c r="D377" s="34">
        <v>400</v>
      </c>
      <c r="E377" s="6" t="s">
        <v>84</v>
      </c>
      <c r="F377" s="6" t="s">
        <v>59</v>
      </c>
      <c r="G377" s="6"/>
      <c r="H377" s="7" t="s">
        <v>142</v>
      </c>
      <c r="I377" s="7" t="str">
        <f t="shared" si="71"/>
        <v>HITANO</v>
      </c>
      <c r="J377" s="7" t="str">
        <f t="shared" si="72"/>
        <v>100µF</v>
      </c>
      <c r="K377" s="7" t="str">
        <f t="shared" si="73"/>
        <v>400v</v>
      </c>
      <c r="L377" s="7" t="str">
        <f t="shared" si="70"/>
        <v>EXR</v>
      </c>
      <c r="M377" s="31">
        <f t="shared" si="62"/>
        <v>18</v>
      </c>
      <c r="N377" s="31">
        <f t="shared" si="63"/>
        <v>41</v>
      </c>
      <c r="O377" s="8" t="str">
        <f t="shared" si="64"/>
        <v>Hitano-EXR</v>
      </c>
      <c r="P377" s="12" t="str">
        <f t="shared" si="60"/>
        <v>Hitano R-18.0x41.0</v>
      </c>
      <c r="Q377" s="12" t="str">
        <f t="shared" si="65"/>
        <v>100µF</v>
      </c>
      <c r="R377" s="12" t="str">
        <f t="shared" si="66"/>
        <v>400v</v>
      </c>
      <c r="S377" s="8" t="str">
        <f t="shared" si="61"/>
        <v>100µF 400v - R18.0-41.0 Hitano (EXR)</v>
      </c>
      <c r="T377" s="8">
        <f t="shared" si="67"/>
        <v>1</v>
      </c>
      <c r="U377" s="8" t="b">
        <f>NOT(ISNA(MATCH($P377,Packages!$A:$A,0)))</f>
        <v>1</v>
      </c>
    </row>
    <row r="378" spans="1:21">
      <c r="A378" s="6" t="s">
        <v>49</v>
      </c>
      <c r="B378" s="6" t="s">
        <v>52</v>
      </c>
      <c r="C378" s="33">
        <v>1</v>
      </c>
      <c r="D378" s="34">
        <v>450</v>
      </c>
      <c r="E378" s="6" t="s">
        <v>71</v>
      </c>
      <c r="F378" s="6" t="s">
        <v>59</v>
      </c>
      <c r="G378" s="6"/>
      <c r="H378" s="7" t="s">
        <v>142</v>
      </c>
      <c r="I378" s="7" t="str">
        <f t="shared" si="71"/>
        <v>HITANO</v>
      </c>
      <c r="J378" s="7" t="str">
        <f t="shared" si="72"/>
        <v>1µF</v>
      </c>
      <c r="K378" s="7" t="str">
        <f t="shared" si="73"/>
        <v>450v</v>
      </c>
      <c r="L378" s="7" t="str">
        <f t="shared" si="70"/>
        <v>EXR</v>
      </c>
      <c r="M378" s="31">
        <f t="shared" si="62"/>
        <v>8</v>
      </c>
      <c r="N378" s="31">
        <f t="shared" si="63"/>
        <v>12</v>
      </c>
      <c r="O378" s="8" t="str">
        <f t="shared" si="64"/>
        <v>Hitano-EXR</v>
      </c>
      <c r="P378" s="12" t="str">
        <f t="shared" si="60"/>
        <v>Hitano R-08.0x12.0</v>
      </c>
      <c r="Q378" s="12" t="str">
        <f t="shared" si="65"/>
        <v>1µF</v>
      </c>
      <c r="R378" s="12" t="str">
        <f t="shared" si="66"/>
        <v>450v</v>
      </c>
      <c r="S378" s="8" t="str">
        <f t="shared" si="61"/>
        <v>1µF 450v - R08.0-12.0 Hitano (EXR)</v>
      </c>
      <c r="T378" s="8">
        <f t="shared" si="67"/>
        <v>1</v>
      </c>
      <c r="U378" s="8" t="b">
        <f>NOT(ISNA(MATCH($P378,Packages!$A:$A,0)))</f>
        <v>1</v>
      </c>
    </row>
    <row r="379" spans="1:21">
      <c r="A379" s="6" t="s">
        <v>49</v>
      </c>
      <c r="B379" s="6" t="s">
        <v>52</v>
      </c>
      <c r="C379" s="33">
        <v>2.2000000000000002</v>
      </c>
      <c r="D379" s="34">
        <v>450</v>
      </c>
      <c r="E379" s="6" t="s">
        <v>74</v>
      </c>
      <c r="F379" s="6" t="s">
        <v>59</v>
      </c>
      <c r="G379" s="6"/>
      <c r="H379" s="7" t="s">
        <v>142</v>
      </c>
      <c r="I379" s="7" t="str">
        <f t="shared" si="71"/>
        <v>HITANO</v>
      </c>
      <c r="J379" s="7" t="str">
        <f t="shared" si="72"/>
        <v>2.2µF</v>
      </c>
      <c r="K379" s="7" t="str">
        <f t="shared" si="73"/>
        <v>450v</v>
      </c>
      <c r="L379" s="7" t="str">
        <f t="shared" si="70"/>
        <v>EXR</v>
      </c>
      <c r="M379" s="31">
        <f t="shared" si="62"/>
        <v>10</v>
      </c>
      <c r="N379" s="31">
        <f t="shared" si="63"/>
        <v>16</v>
      </c>
      <c r="O379" s="8" t="str">
        <f t="shared" si="64"/>
        <v>Hitano-EXR</v>
      </c>
      <c r="P379" s="12" t="str">
        <f t="shared" si="60"/>
        <v>Hitano R-10.0x16.0</v>
      </c>
      <c r="Q379" s="12" t="str">
        <f t="shared" si="65"/>
        <v>2.2µF</v>
      </c>
      <c r="R379" s="12" t="str">
        <f t="shared" si="66"/>
        <v>450v</v>
      </c>
      <c r="S379" s="8" t="str">
        <f t="shared" si="61"/>
        <v>2.2µF 450v - R10.0-16.0 Hitano (EXR)</v>
      </c>
      <c r="T379" s="8">
        <f t="shared" si="67"/>
        <v>1</v>
      </c>
      <c r="U379" s="8" t="b">
        <f>NOT(ISNA(MATCH($P379,Packages!$A:$A,0)))</f>
        <v>1</v>
      </c>
    </row>
    <row r="380" spans="1:21">
      <c r="A380" s="6" t="s">
        <v>49</v>
      </c>
      <c r="B380" s="6" t="s">
        <v>52</v>
      </c>
      <c r="C380" s="33">
        <v>3.3</v>
      </c>
      <c r="D380" s="34">
        <v>450</v>
      </c>
      <c r="E380" s="6" t="s">
        <v>74</v>
      </c>
      <c r="F380" s="6" t="s">
        <v>59</v>
      </c>
      <c r="G380" s="6"/>
      <c r="H380" s="7" t="s">
        <v>142</v>
      </c>
      <c r="I380" s="7" t="str">
        <f t="shared" si="71"/>
        <v>HITANO</v>
      </c>
      <c r="J380" s="7" t="str">
        <f t="shared" si="72"/>
        <v>3.3µF</v>
      </c>
      <c r="K380" s="7" t="str">
        <f t="shared" si="73"/>
        <v>450v</v>
      </c>
      <c r="L380" s="7" t="str">
        <f t="shared" si="70"/>
        <v>EXR</v>
      </c>
      <c r="M380" s="31">
        <f t="shared" si="62"/>
        <v>10</v>
      </c>
      <c r="N380" s="31">
        <f t="shared" si="63"/>
        <v>16</v>
      </c>
      <c r="O380" s="8" t="str">
        <f t="shared" si="64"/>
        <v>Hitano-EXR</v>
      </c>
      <c r="P380" s="12" t="str">
        <f t="shared" si="60"/>
        <v>Hitano R-10.0x16.0</v>
      </c>
      <c r="Q380" s="12" t="str">
        <f t="shared" si="65"/>
        <v>3.3µF</v>
      </c>
      <c r="R380" s="12" t="str">
        <f t="shared" si="66"/>
        <v>450v</v>
      </c>
      <c r="S380" s="8" t="str">
        <f t="shared" si="61"/>
        <v>3.3µF 450v - R10.0-16.0 Hitano (EXR)</v>
      </c>
      <c r="T380" s="8">
        <f t="shared" si="67"/>
        <v>1</v>
      </c>
      <c r="U380" s="8" t="b">
        <f>NOT(ISNA(MATCH($P380,Packages!$A:$A,0)))</f>
        <v>1</v>
      </c>
    </row>
    <row r="381" spans="1:21">
      <c r="A381" s="6" t="s">
        <v>49</v>
      </c>
      <c r="B381" s="6" t="s">
        <v>52</v>
      </c>
      <c r="C381" s="33">
        <v>4.7</v>
      </c>
      <c r="D381" s="34">
        <v>450</v>
      </c>
      <c r="E381" s="6" t="s">
        <v>76</v>
      </c>
      <c r="F381" s="6" t="s">
        <v>59</v>
      </c>
      <c r="G381" s="6"/>
      <c r="H381" s="7" t="s">
        <v>142</v>
      </c>
      <c r="I381" s="7" t="str">
        <f t="shared" si="71"/>
        <v>HITANO</v>
      </c>
      <c r="J381" s="7" t="str">
        <f t="shared" si="72"/>
        <v>4.7µF</v>
      </c>
      <c r="K381" s="7" t="str">
        <f t="shared" si="73"/>
        <v>450v</v>
      </c>
      <c r="L381" s="7" t="str">
        <f t="shared" si="70"/>
        <v>EXR</v>
      </c>
      <c r="M381" s="31">
        <f t="shared" si="62"/>
        <v>13</v>
      </c>
      <c r="N381" s="31">
        <f t="shared" si="63"/>
        <v>21</v>
      </c>
      <c r="O381" s="8" t="str">
        <f t="shared" si="64"/>
        <v>Hitano-EXR</v>
      </c>
      <c r="P381" s="12" t="str">
        <f t="shared" si="60"/>
        <v>Hitano R-13.0x21.0</v>
      </c>
      <c r="Q381" s="12" t="str">
        <f t="shared" si="65"/>
        <v>4.7µF</v>
      </c>
      <c r="R381" s="12" t="str">
        <f t="shared" si="66"/>
        <v>450v</v>
      </c>
      <c r="S381" s="8" t="str">
        <f t="shared" si="61"/>
        <v>4.7µF 450v - R13.0-21.0 Hitano (EXR)</v>
      </c>
      <c r="T381" s="8">
        <f t="shared" si="67"/>
        <v>1</v>
      </c>
      <c r="U381" s="8" t="b">
        <f>NOT(ISNA(MATCH($P381,Packages!$A:$A,0)))</f>
        <v>1</v>
      </c>
    </row>
    <row r="382" spans="1:21">
      <c r="A382" s="6" t="s">
        <v>49</v>
      </c>
      <c r="B382" s="6" t="s">
        <v>52</v>
      </c>
      <c r="C382" s="33">
        <v>10</v>
      </c>
      <c r="D382" s="34">
        <v>450</v>
      </c>
      <c r="E382" s="6" t="s">
        <v>77</v>
      </c>
      <c r="F382" s="6" t="s">
        <v>59</v>
      </c>
      <c r="G382" s="6"/>
      <c r="H382" s="7" t="s">
        <v>142</v>
      </c>
      <c r="I382" s="7" t="str">
        <f t="shared" si="71"/>
        <v>HITANO</v>
      </c>
      <c r="J382" s="7" t="str">
        <f t="shared" si="72"/>
        <v>10µF</v>
      </c>
      <c r="K382" s="7" t="str">
        <f t="shared" si="73"/>
        <v>450v</v>
      </c>
      <c r="L382" s="7" t="str">
        <f t="shared" si="70"/>
        <v>EXR</v>
      </c>
      <c r="M382" s="31">
        <f t="shared" si="62"/>
        <v>13</v>
      </c>
      <c r="N382" s="31">
        <f t="shared" si="63"/>
        <v>26</v>
      </c>
      <c r="O382" s="8" t="str">
        <f t="shared" si="64"/>
        <v>Hitano-EXR</v>
      </c>
      <c r="P382" s="12" t="str">
        <f t="shared" si="60"/>
        <v>Hitano R-13.0x26.0</v>
      </c>
      <c r="Q382" s="12" t="str">
        <f t="shared" si="65"/>
        <v>10µF</v>
      </c>
      <c r="R382" s="12" t="str">
        <f t="shared" si="66"/>
        <v>450v</v>
      </c>
      <c r="S382" s="8" t="str">
        <f t="shared" si="61"/>
        <v>10µF 450v - R13.0-26.0 Hitano (EXR)</v>
      </c>
      <c r="T382" s="8">
        <f t="shared" si="67"/>
        <v>1</v>
      </c>
      <c r="U382" s="8" t="b">
        <f>NOT(ISNA(MATCH($P382,Packages!$A:$A,0)))</f>
        <v>1</v>
      </c>
    </row>
    <row r="383" spans="1:21">
      <c r="A383" s="6" t="s">
        <v>49</v>
      </c>
      <c r="B383" s="6" t="s">
        <v>52</v>
      </c>
      <c r="C383" s="33">
        <v>22</v>
      </c>
      <c r="D383" s="34">
        <v>450</v>
      </c>
      <c r="E383" s="6" t="s">
        <v>77</v>
      </c>
      <c r="F383" s="6" t="s">
        <v>59</v>
      </c>
      <c r="G383" s="6"/>
      <c r="H383" s="7" t="s">
        <v>142</v>
      </c>
      <c r="I383" s="7" t="str">
        <f t="shared" si="71"/>
        <v>HITANO</v>
      </c>
      <c r="J383" s="7" t="str">
        <f t="shared" si="72"/>
        <v>22µF</v>
      </c>
      <c r="K383" s="7" t="str">
        <f t="shared" si="73"/>
        <v>450v</v>
      </c>
      <c r="L383" s="7" t="str">
        <f t="shared" si="70"/>
        <v>EXR</v>
      </c>
      <c r="M383" s="31">
        <f t="shared" si="62"/>
        <v>13</v>
      </c>
      <c r="N383" s="31">
        <f t="shared" si="63"/>
        <v>26</v>
      </c>
      <c r="O383" s="8" t="str">
        <f t="shared" si="64"/>
        <v>Hitano-EXR</v>
      </c>
      <c r="P383" s="12" t="str">
        <f t="shared" si="60"/>
        <v>Hitano R-13.0x26.0</v>
      </c>
      <c r="Q383" s="12" t="str">
        <f t="shared" si="65"/>
        <v>22µF</v>
      </c>
      <c r="R383" s="12" t="str">
        <f t="shared" si="66"/>
        <v>450v</v>
      </c>
      <c r="S383" s="8" t="str">
        <f t="shared" si="61"/>
        <v>22µF 450v - R13.0-26.0 Hitano (EXR)</v>
      </c>
      <c r="T383" s="8">
        <f t="shared" si="67"/>
        <v>1</v>
      </c>
      <c r="U383" s="8" t="b">
        <f>NOT(ISNA(MATCH($P383,Packages!$A:$A,0)))</f>
        <v>1</v>
      </c>
    </row>
    <row r="384" spans="1:21">
      <c r="A384" s="6" t="s">
        <v>49</v>
      </c>
      <c r="B384" s="6" t="s">
        <v>52</v>
      </c>
      <c r="C384" s="33">
        <v>33</v>
      </c>
      <c r="D384" s="34">
        <v>450</v>
      </c>
      <c r="E384" s="6" t="s">
        <v>78</v>
      </c>
      <c r="F384" s="6" t="s">
        <v>59</v>
      </c>
      <c r="G384" s="6"/>
      <c r="H384" s="7" t="s">
        <v>142</v>
      </c>
      <c r="I384" s="7" t="str">
        <f t="shared" si="71"/>
        <v>HITANO</v>
      </c>
      <c r="J384" s="7" t="str">
        <f t="shared" si="72"/>
        <v>33µF</v>
      </c>
      <c r="K384" s="7" t="str">
        <f t="shared" si="73"/>
        <v>450v</v>
      </c>
      <c r="L384" s="7" t="str">
        <f t="shared" si="70"/>
        <v>EXR</v>
      </c>
      <c r="M384" s="31">
        <f t="shared" si="62"/>
        <v>16</v>
      </c>
      <c r="N384" s="31">
        <f t="shared" si="63"/>
        <v>26</v>
      </c>
      <c r="O384" s="8" t="str">
        <f t="shared" si="64"/>
        <v>Hitano-EXR</v>
      </c>
      <c r="P384" s="12" t="str">
        <f t="shared" si="60"/>
        <v>Hitano R-16.0x26.0</v>
      </c>
      <c r="Q384" s="12" t="str">
        <f t="shared" si="65"/>
        <v>33µF</v>
      </c>
      <c r="R384" s="12" t="str">
        <f t="shared" si="66"/>
        <v>450v</v>
      </c>
      <c r="S384" s="8" t="str">
        <f t="shared" si="61"/>
        <v>33µF 450v - R16.0-26.0 Hitano (EXR)</v>
      </c>
      <c r="T384" s="8">
        <f t="shared" si="67"/>
        <v>1</v>
      </c>
      <c r="U384" s="8" t="b">
        <f>NOT(ISNA(MATCH($P384,Packages!$A:$A,0)))</f>
        <v>1</v>
      </c>
    </row>
    <row r="385" spans="1:21">
      <c r="A385" s="6" t="s">
        <v>49</v>
      </c>
      <c r="B385" s="6" t="s">
        <v>52</v>
      </c>
      <c r="C385" s="33">
        <v>47</v>
      </c>
      <c r="D385" s="34">
        <v>450</v>
      </c>
      <c r="E385" s="6" t="s">
        <v>79</v>
      </c>
      <c r="F385" s="6" t="s">
        <v>59</v>
      </c>
      <c r="G385" s="6"/>
      <c r="H385" s="7" t="s">
        <v>142</v>
      </c>
      <c r="I385" s="7" t="str">
        <f t="shared" si="71"/>
        <v>HITANO</v>
      </c>
      <c r="J385" s="7" t="str">
        <f t="shared" si="72"/>
        <v>47µF</v>
      </c>
      <c r="K385" s="7" t="str">
        <f t="shared" si="73"/>
        <v>450v</v>
      </c>
      <c r="L385" s="7" t="str">
        <f t="shared" si="70"/>
        <v>EXR</v>
      </c>
      <c r="M385" s="31">
        <f t="shared" si="62"/>
        <v>16</v>
      </c>
      <c r="N385" s="31">
        <f t="shared" si="63"/>
        <v>36</v>
      </c>
      <c r="O385" s="8" t="str">
        <f t="shared" si="64"/>
        <v>Hitano-EXR</v>
      </c>
      <c r="P385" s="12" t="str">
        <f t="shared" si="60"/>
        <v>Hitano R-16.0x36.0</v>
      </c>
      <c r="Q385" s="12" t="str">
        <f t="shared" si="65"/>
        <v>47µF</v>
      </c>
      <c r="R385" s="12" t="str">
        <f t="shared" si="66"/>
        <v>450v</v>
      </c>
      <c r="S385" s="8" t="str">
        <f t="shared" si="61"/>
        <v>47µF 450v - R16.0-36.0 Hitano (EXR)</v>
      </c>
      <c r="T385" s="8">
        <f t="shared" si="67"/>
        <v>1</v>
      </c>
      <c r="U385" s="8" t="b">
        <f>NOT(ISNA(MATCH($P385,Packages!$A:$A,0)))</f>
        <v>1</v>
      </c>
    </row>
    <row r="386" spans="1:21">
      <c r="A386" s="6" t="s">
        <v>49</v>
      </c>
      <c r="B386" s="6" t="s">
        <v>52</v>
      </c>
      <c r="C386" s="33">
        <v>68</v>
      </c>
      <c r="D386" s="34">
        <v>450</v>
      </c>
      <c r="E386" s="6" t="s">
        <v>80</v>
      </c>
      <c r="F386" s="6" t="s">
        <v>59</v>
      </c>
      <c r="G386" s="6"/>
      <c r="H386" s="7" t="s">
        <v>142</v>
      </c>
      <c r="I386" s="7" t="str">
        <f t="shared" si="71"/>
        <v>HITANO</v>
      </c>
      <c r="J386" s="7" t="str">
        <f t="shared" si="72"/>
        <v>68µF</v>
      </c>
      <c r="K386" s="7" t="str">
        <f t="shared" si="73"/>
        <v>450v</v>
      </c>
      <c r="L386" s="7" t="str">
        <f t="shared" si="70"/>
        <v>EXR</v>
      </c>
      <c r="M386" s="31">
        <f t="shared" si="62"/>
        <v>18</v>
      </c>
      <c r="N386" s="31">
        <f t="shared" si="63"/>
        <v>36</v>
      </c>
      <c r="O386" s="8" t="str">
        <f t="shared" si="64"/>
        <v>Hitano-EXR</v>
      </c>
      <c r="P386" s="12" t="str">
        <f t="shared" ref="P386:P449" si="74">$A386&amp;" "&amp;LEFT($F386,1)&amp;"-"&amp;TEXT(ROUND($M386,0),"00.0")&amp;"x"&amp;TEXT(ROUND($N386,0),"00.0")</f>
        <v>Hitano R-18.0x36.0</v>
      </c>
      <c r="Q386" s="12" t="str">
        <f t="shared" si="65"/>
        <v>68µF</v>
      </c>
      <c r="R386" s="12" t="str">
        <f t="shared" si="66"/>
        <v>450v</v>
      </c>
      <c r="S386" s="8" t="str">
        <f t="shared" ref="S386:S449" si="75">$Q386&amp;" "&amp;$R386&amp;" - "&amp;LEFT($F386,1)&amp;TEXT($M386,"00.0")&amp;"-"&amp;TEXT($N386,"00.0")&amp;" "&amp;A386&amp;" ("&amp;B386&amp;")"&amp;IF(ISBLANK($G386),""," "&amp;$G386)</f>
        <v>68µF 450v - R18.0-36.0 Hitano (EXR)</v>
      </c>
      <c r="T386" s="8">
        <f t="shared" si="67"/>
        <v>1</v>
      </c>
      <c r="U386" s="8" t="b">
        <f>NOT(ISNA(MATCH($P386,Packages!$A:$A,0)))</f>
        <v>1</v>
      </c>
    </row>
    <row r="387" spans="1:21" hidden="1">
      <c r="A387" s="6" t="s">
        <v>47</v>
      </c>
      <c r="B387" s="6" t="s">
        <v>48</v>
      </c>
      <c r="C387" s="33">
        <v>100</v>
      </c>
      <c r="D387" s="34">
        <v>6.3</v>
      </c>
      <c r="E387" s="6" t="s">
        <v>68</v>
      </c>
      <c r="F387" s="6" t="s">
        <v>59</v>
      </c>
      <c r="G387" s="6"/>
      <c r="H387" s="7" t="s">
        <v>141</v>
      </c>
      <c r="I387" s="7"/>
      <c r="J387" s="7" t="str">
        <f t="shared" ref="J387:J450" si="76">UPPER($A387)</f>
        <v>JAMICON</v>
      </c>
      <c r="K387" s="7" t="str">
        <f t="shared" ref="K387:K450" si="77">$Q387&amp;" "&amp;$R387</f>
        <v>100µF 6.3v</v>
      </c>
      <c r="L387" s="7" t="str">
        <f t="shared" si="70"/>
        <v>SK</v>
      </c>
      <c r="M387" s="31">
        <f t="shared" ref="M387:M450" si="78">VALUE(LEFT($E387,SEARCH("x",$E387)-1))</f>
        <v>5</v>
      </c>
      <c r="N387" s="31">
        <f t="shared" ref="N387:N450" si="79">VALUE(RIGHT($E387,LEN($E387)-SEARCH("x",$E387)))</f>
        <v>11</v>
      </c>
      <c r="O387" s="8" t="str">
        <f t="shared" ref="O387:O450" si="80">$A387&amp;"-"&amp;$B387</f>
        <v>Jamicon-SK</v>
      </c>
      <c r="P387" s="12" t="str">
        <f t="shared" si="74"/>
        <v>Jamicon R-05.0x11.0</v>
      </c>
      <c r="Q387" s="12" t="str">
        <f t="shared" ref="Q387:Q450" si="81">TEXT($C387,"General"&amp;CHAR(34)&amp;"µF"&amp;CHAR(34))</f>
        <v>100µF</v>
      </c>
      <c r="R387" s="12" t="str">
        <f t="shared" ref="R387:R450" si="82">TEXT($D387,"General"&amp;CHAR(34)&amp;"v"&amp;CHAR(34))</f>
        <v>6.3v</v>
      </c>
      <c r="S387" s="8" t="str">
        <f t="shared" si="75"/>
        <v>100µF 6.3v - R05.0-11.0 Jamicon (SK)</v>
      </c>
      <c r="T387" s="8">
        <f t="shared" ref="T387:T450" si="83">COUNTIF($S:$S,$S387)</f>
        <v>1</v>
      </c>
      <c r="U387" s="8" t="b">
        <f>NOT(ISNA(MATCH($P387,Packages!$A:$A,0)))</f>
        <v>1</v>
      </c>
    </row>
    <row r="388" spans="1:21" hidden="1">
      <c r="A388" s="6" t="s">
        <v>47</v>
      </c>
      <c r="B388" s="6" t="s">
        <v>48</v>
      </c>
      <c r="C388" s="33">
        <v>220</v>
      </c>
      <c r="D388" s="34">
        <v>6.3</v>
      </c>
      <c r="E388" s="6" t="s">
        <v>68</v>
      </c>
      <c r="F388" s="6" t="s">
        <v>59</v>
      </c>
      <c r="G388" s="6"/>
      <c r="H388" s="7" t="s">
        <v>141</v>
      </c>
      <c r="I388" s="7"/>
      <c r="J388" s="7" t="str">
        <f t="shared" si="76"/>
        <v>JAMICON</v>
      </c>
      <c r="K388" s="7" t="str">
        <f t="shared" si="77"/>
        <v>220µF 6.3v</v>
      </c>
      <c r="L388" s="7" t="str">
        <f t="shared" ref="L388:L407" si="84">B388</f>
        <v>SK</v>
      </c>
      <c r="M388" s="31">
        <f t="shared" si="78"/>
        <v>5</v>
      </c>
      <c r="N388" s="31">
        <f t="shared" si="79"/>
        <v>11</v>
      </c>
      <c r="O388" s="8" t="str">
        <f t="shared" si="80"/>
        <v>Jamicon-SK</v>
      </c>
      <c r="P388" s="12" t="str">
        <f t="shared" si="74"/>
        <v>Jamicon R-05.0x11.0</v>
      </c>
      <c r="Q388" s="12" t="str">
        <f t="shared" si="81"/>
        <v>220µF</v>
      </c>
      <c r="R388" s="12" t="str">
        <f t="shared" si="82"/>
        <v>6.3v</v>
      </c>
      <c r="S388" s="8" t="str">
        <f t="shared" si="75"/>
        <v>220µF 6.3v - R05.0-11.0 Jamicon (SK)</v>
      </c>
      <c r="T388" s="8">
        <f t="shared" si="83"/>
        <v>1</v>
      </c>
      <c r="U388" s="8" t="b">
        <f>NOT(ISNA(MATCH($P388,Packages!$A:$A,0)))</f>
        <v>1</v>
      </c>
    </row>
    <row r="389" spans="1:21" hidden="1">
      <c r="A389" s="6" t="s">
        <v>47</v>
      </c>
      <c r="B389" s="6" t="s">
        <v>48</v>
      </c>
      <c r="C389" s="33">
        <v>220</v>
      </c>
      <c r="D389" s="34">
        <v>6.3</v>
      </c>
      <c r="E389" s="6" t="s">
        <v>69</v>
      </c>
      <c r="F389" s="6" t="s">
        <v>59</v>
      </c>
      <c r="G389" s="6"/>
      <c r="H389" s="7" t="s">
        <v>141</v>
      </c>
      <c r="I389" s="7"/>
      <c r="J389" s="7" t="str">
        <f t="shared" si="76"/>
        <v>JAMICON</v>
      </c>
      <c r="K389" s="7" t="str">
        <f t="shared" si="77"/>
        <v>220µF 6.3v</v>
      </c>
      <c r="L389" s="7" t="str">
        <f t="shared" si="84"/>
        <v>SK</v>
      </c>
      <c r="M389" s="31">
        <f t="shared" si="78"/>
        <v>6.3</v>
      </c>
      <c r="N389" s="31">
        <f t="shared" si="79"/>
        <v>11</v>
      </c>
      <c r="O389" s="8" t="str">
        <f t="shared" si="80"/>
        <v>Jamicon-SK</v>
      </c>
      <c r="P389" s="12" t="str">
        <f t="shared" si="74"/>
        <v>Jamicon R-06.0x11.0</v>
      </c>
      <c r="Q389" s="12" t="str">
        <f t="shared" si="81"/>
        <v>220µF</v>
      </c>
      <c r="R389" s="12" t="str">
        <f t="shared" si="82"/>
        <v>6.3v</v>
      </c>
      <c r="S389" s="8" t="str">
        <f t="shared" si="75"/>
        <v>220µF 6.3v - R06.3-11.0 Jamicon (SK)</v>
      </c>
      <c r="T389" s="8">
        <f t="shared" si="83"/>
        <v>1</v>
      </c>
      <c r="U389" s="8" t="b">
        <f>NOT(ISNA(MATCH($P389,Packages!$A:$A,0)))</f>
        <v>1</v>
      </c>
    </row>
    <row r="390" spans="1:21" hidden="1">
      <c r="A390" s="6" t="s">
        <v>47</v>
      </c>
      <c r="B390" s="6" t="s">
        <v>48</v>
      </c>
      <c r="C390" s="33">
        <v>330</v>
      </c>
      <c r="D390" s="34">
        <v>6.3</v>
      </c>
      <c r="E390" s="6" t="s">
        <v>69</v>
      </c>
      <c r="F390" s="6" t="s">
        <v>59</v>
      </c>
      <c r="G390" s="6"/>
      <c r="H390" s="7" t="s">
        <v>141</v>
      </c>
      <c r="I390" s="7"/>
      <c r="J390" s="7" t="str">
        <f t="shared" si="76"/>
        <v>JAMICON</v>
      </c>
      <c r="K390" s="7" t="str">
        <f t="shared" si="77"/>
        <v>330µF 6.3v</v>
      </c>
      <c r="L390" s="7" t="str">
        <f t="shared" si="84"/>
        <v>SK</v>
      </c>
      <c r="M390" s="31">
        <f t="shared" si="78"/>
        <v>6.3</v>
      </c>
      <c r="N390" s="31">
        <f t="shared" si="79"/>
        <v>11</v>
      </c>
      <c r="O390" s="8" t="str">
        <f t="shared" si="80"/>
        <v>Jamicon-SK</v>
      </c>
      <c r="P390" s="12" t="str">
        <f t="shared" si="74"/>
        <v>Jamicon R-06.0x11.0</v>
      </c>
      <c r="Q390" s="12" t="str">
        <f t="shared" si="81"/>
        <v>330µF</v>
      </c>
      <c r="R390" s="12" t="str">
        <f t="shared" si="82"/>
        <v>6.3v</v>
      </c>
      <c r="S390" s="8" t="str">
        <f t="shared" si="75"/>
        <v>330µF 6.3v - R06.3-11.0 Jamicon (SK)</v>
      </c>
      <c r="T390" s="8">
        <f t="shared" si="83"/>
        <v>1</v>
      </c>
      <c r="U390" s="8" t="b">
        <f>NOT(ISNA(MATCH($P390,Packages!$A:$A,0)))</f>
        <v>1</v>
      </c>
    </row>
    <row r="391" spans="1:21" hidden="1">
      <c r="A391" s="6" t="s">
        <v>47</v>
      </c>
      <c r="B391" s="6" t="s">
        <v>48</v>
      </c>
      <c r="C391" s="33">
        <v>330</v>
      </c>
      <c r="D391" s="34">
        <v>6.3</v>
      </c>
      <c r="E391" s="6" t="s">
        <v>108</v>
      </c>
      <c r="F391" s="6" t="s">
        <v>59</v>
      </c>
      <c r="G391" s="6"/>
      <c r="H391" s="7" t="s">
        <v>141</v>
      </c>
      <c r="I391" s="7"/>
      <c r="J391" s="7" t="str">
        <f t="shared" si="76"/>
        <v>JAMICON</v>
      </c>
      <c r="K391" s="7" t="str">
        <f t="shared" si="77"/>
        <v>330µF 6.3v</v>
      </c>
      <c r="L391" s="7" t="str">
        <f t="shared" si="84"/>
        <v>SK</v>
      </c>
      <c r="M391" s="31">
        <f t="shared" si="78"/>
        <v>8</v>
      </c>
      <c r="N391" s="31">
        <f t="shared" si="79"/>
        <v>11.5</v>
      </c>
      <c r="O391" s="8" t="str">
        <f t="shared" si="80"/>
        <v>Jamicon-SK</v>
      </c>
      <c r="P391" s="12" t="str">
        <f t="shared" si="74"/>
        <v>Jamicon R-08.0x12.0</v>
      </c>
      <c r="Q391" s="12" t="str">
        <f t="shared" si="81"/>
        <v>330µF</v>
      </c>
      <c r="R391" s="12" t="str">
        <f t="shared" si="82"/>
        <v>6.3v</v>
      </c>
      <c r="S391" s="8" t="str">
        <f t="shared" si="75"/>
        <v>330µF 6.3v - R08.0-11.5 Jamicon (SK)</v>
      </c>
      <c r="T391" s="8">
        <f t="shared" si="83"/>
        <v>1</v>
      </c>
      <c r="U391" s="8" t="b">
        <f>NOT(ISNA(MATCH($P391,Packages!$A:$A,0)))</f>
        <v>1</v>
      </c>
    </row>
    <row r="392" spans="1:21" hidden="1">
      <c r="A392" s="6" t="s">
        <v>47</v>
      </c>
      <c r="B392" s="6" t="s">
        <v>48</v>
      </c>
      <c r="C392" s="33">
        <v>470</v>
      </c>
      <c r="D392" s="34">
        <v>6.3</v>
      </c>
      <c r="E392" s="6" t="s">
        <v>69</v>
      </c>
      <c r="F392" s="6" t="s">
        <v>59</v>
      </c>
      <c r="G392" s="6"/>
      <c r="H392" s="7" t="s">
        <v>141</v>
      </c>
      <c r="I392" s="7"/>
      <c r="J392" s="7" t="str">
        <f t="shared" si="76"/>
        <v>JAMICON</v>
      </c>
      <c r="K392" s="7" t="str">
        <f t="shared" si="77"/>
        <v>470µF 6.3v</v>
      </c>
      <c r="L392" s="7" t="str">
        <f t="shared" si="84"/>
        <v>SK</v>
      </c>
      <c r="M392" s="31">
        <f t="shared" si="78"/>
        <v>6.3</v>
      </c>
      <c r="N392" s="31">
        <f t="shared" si="79"/>
        <v>11</v>
      </c>
      <c r="O392" s="8" t="str">
        <f t="shared" si="80"/>
        <v>Jamicon-SK</v>
      </c>
      <c r="P392" s="12" t="str">
        <f t="shared" si="74"/>
        <v>Jamicon R-06.0x11.0</v>
      </c>
      <c r="Q392" s="12" t="str">
        <f t="shared" si="81"/>
        <v>470µF</v>
      </c>
      <c r="R392" s="12" t="str">
        <f t="shared" si="82"/>
        <v>6.3v</v>
      </c>
      <c r="S392" s="8" t="str">
        <f t="shared" si="75"/>
        <v>470µF 6.3v - R06.3-11.0 Jamicon (SK)</v>
      </c>
      <c r="T392" s="8">
        <f t="shared" si="83"/>
        <v>1</v>
      </c>
      <c r="U392" s="8" t="b">
        <f>NOT(ISNA(MATCH($P392,Packages!$A:$A,0)))</f>
        <v>1</v>
      </c>
    </row>
    <row r="393" spans="1:21" hidden="1">
      <c r="A393" s="6" t="s">
        <v>47</v>
      </c>
      <c r="B393" s="6" t="s">
        <v>48</v>
      </c>
      <c r="C393" s="33">
        <v>470</v>
      </c>
      <c r="D393" s="34">
        <v>6.3</v>
      </c>
      <c r="E393" s="6" t="s">
        <v>108</v>
      </c>
      <c r="F393" s="6" t="s">
        <v>59</v>
      </c>
      <c r="G393" s="6"/>
      <c r="H393" s="7" t="s">
        <v>141</v>
      </c>
      <c r="I393" s="7"/>
      <c r="J393" s="7" t="str">
        <f t="shared" si="76"/>
        <v>JAMICON</v>
      </c>
      <c r="K393" s="7" t="str">
        <f t="shared" si="77"/>
        <v>470µF 6.3v</v>
      </c>
      <c r="L393" s="7" t="str">
        <f t="shared" si="84"/>
        <v>SK</v>
      </c>
      <c r="M393" s="31">
        <f t="shared" si="78"/>
        <v>8</v>
      </c>
      <c r="N393" s="31">
        <f t="shared" si="79"/>
        <v>11.5</v>
      </c>
      <c r="O393" s="8" t="str">
        <f t="shared" si="80"/>
        <v>Jamicon-SK</v>
      </c>
      <c r="P393" s="12" t="str">
        <f t="shared" si="74"/>
        <v>Jamicon R-08.0x12.0</v>
      </c>
      <c r="Q393" s="12" t="str">
        <f t="shared" si="81"/>
        <v>470µF</v>
      </c>
      <c r="R393" s="12" t="str">
        <f t="shared" si="82"/>
        <v>6.3v</v>
      </c>
      <c r="S393" s="8" t="str">
        <f t="shared" si="75"/>
        <v>470µF 6.3v - R08.0-11.5 Jamicon (SK)</v>
      </c>
      <c r="T393" s="8">
        <f t="shared" si="83"/>
        <v>1</v>
      </c>
      <c r="U393" s="8" t="b">
        <f>NOT(ISNA(MATCH($P393,Packages!$A:$A,0)))</f>
        <v>1</v>
      </c>
    </row>
    <row r="394" spans="1:21" hidden="1">
      <c r="A394" s="6" t="s">
        <v>47</v>
      </c>
      <c r="B394" s="6" t="s">
        <v>48</v>
      </c>
      <c r="C394" s="33">
        <v>1000</v>
      </c>
      <c r="D394" s="34">
        <v>6.3</v>
      </c>
      <c r="E394" s="6" t="s">
        <v>108</v>
      </c>
      <c r="F394" s="6" t="s">
        <v>59</v>
      </c>
      <c r="G394" s="6"/>
      <c r="H394" s="7" t="s">
        <v>141</v>
      </c>
      <c r="I394" s="7"/>
      <c r="J394" s="7" t="str">
        <f t="shared" si="76"/>
        <v>JAMICON</v>
      </c>
      <c r="K394" s="7" t="str">
        <f t="shared" si="77"/>
        <v>1000µF 6.3v</v>
      </c>
      <c r="L394" s="7" t="str">
        <f t="shared" si="84"/>
        <v>SK</v>
      </c>
      <c r="M394" s="31">
        <f t="shared" si="78"/>
        <v>8</v>
      </c>
      <c r="N394" s="31">
        <f t="shared" si="79"/>
        <v>11.5</v>
      </c>
      <c r="O394" s="8" t="str">
        <f t="shared" si="80"/>
        <v>Jamicon-SK</v>
      </c>
      <c r="P394" s="12" t="str">
        <f t="shared" si="74"/>
        <v>Jamicon R-08.0x12.0</v>
      </c>
      <c r="Q394" s="12" t="str">
        <f t="shared" si="81"/>
        <v>1000µF</v>
      </c>
      <c r="R394" s="12" t="str">
        <f t="shared" si="82"/>
        <v>6.3v</v>
      </c>
      <c r="S394" s="8" t="str">
        <f t="shared" si="75"/>
        <v>1000µF 6.3v - R08.0-11.5 Jamicon (SK)</v>
      </c>
      <c r="T394" s="8">
        <f t="shared" si="83"/>
        <v>1</v>
      </c>
      <c r="U394" s="8" t="b">
        <f>NOT(ISNA(MATCH($P394,Packages!$A:$A,0)))</f>
        <v>1</v>
      </c>
    </row>
    <row r="395" spans="1:21" hidden="1">
      <c r="A395" s="6" t="s">
        <v>47</v>
      </c>
      <c r="B395" s="6" t="s">
        <v>48</v>
      </c>
      <c r="C395" s="33">
        <v>1000</v>
      </c>
      <c r="D395" s="34">
        <v>6.3</v>
      </c>
      <c r="E395" s="6" t="s">
        <v>92</v>
      </c>
      <c r="F395" s="6" t="s">
        <v>59</v>
      </c>
      <c r="G395" s="6"/>
      <c r="H395" s="7" t="s">
        <v>141</v>
      </c>
      <c r="I395" s="7"/>
      <c r="J395" s="7" t="str">
        <f t="shared" si="76"/>
        <v>JAMICON</v>
      </c>
      <c r="K395" s="7" t="str">
        <f t="shared" si="77"/>
        <v>1000µF 6.3v</v>
      </c>
      <c r="L395" s="7" t="str">
        <f t="shared" si="84"/>
        <v>SK</v>
      </c>
      <c r="M395" s="31">
        <f t="shared" si="78"/>
        <v>10</v>
      </c>
      <c r="N395" s="31">
        <f t="shared" si="79"/>
        <v>12.5</v>
      </c>
      <c r="O395" s="8" t="str">
        <f t="shared" si="80"/>
        <v>Jamicon-SK</v>
      </c>
      <c r="P395" s="12" t="str">
        <f t="shared" si="74"/>
        <v>Jamicon R-10.0x13.0</v>
      </c>
      <c r="Q395" s="12" t="str">
        <f t="shared" si="81"/>
        <v>1000µF</v>
      </c>
      <c r="R395" s="12" t="str">
        <f t="shared" si="82"/>
        <v>6.3v</v>
      </c>
      <c r="S395" s="8" t="str">
        <f t="shared" si="75"/>
        <v>1000µF 6.3v - R10.0-12.5 Jamicon (SK)</v>
      </c>
      <c r="T395" s="8">
        <f t="shared" si="83"/>
        <v>1</v>
      </c>
      <c r="U395" s="8" t="b">
        <f>NOT(ISNA(MATCH($P395,Packages!$A:$A,0)))</f>
        <v>1</v>
      </c>
    </row>
    <row r="396" spans="1:21" hidden="1">
      <c r="A396" s="6" t="s">
        <v>47</v>
      </c>
      <c r="B396" s="6" t="s">
        <v>48</v>
      </c>
      <c r="C396" s="33">
        <v>2200</v>
      </c>
      <c r="D396" s="34">
        <v>6.3</v>
      </c>
      <c r="E396" s="6" t="s">
        <v>74</v>
      </c>
      <c r="F396" s="6" t="s">
        <v>59</v>
      </c>
      <c r="G396" s="6"/>
      <c r="H396" s="7" t="s">
        <v>141</v>
      </c>
      <c r="I396" s="7"/>
      <c r="J396" s="7" t="str">
        <f t="shared" si="76"/>
        <v>JAMICON</v>
      </c>
      <c r="K396" s="7" t="str">
        <f t="shared" si="77"/>
        <v>2200µF 6.3v</v>
      </c>
      <c r="L396" s="7" t="str">
        <f t="shared" si="84"/>
        <v>SK</v>
      </c>
      <c r="M396" s="31">
        <f t="shared" si="78"/>
        <v>10</v>
      </c>
      <c r="N396" s="31">
        <f t="shared" si="79"/>
        <v>16</v>
      </c>
      <c r="O396" s="8" t="str">
        <f t="shared" si="80"/>
        <v>Jamicon-SK</v>
      </c>
      <c r="P396" s="12" t="str">
        <f t="shared" si="74"/>
        <v>Jamicon R-10.0x16.0</v>
      </c>
      <c r="Q396" s="12" t="str">
        <f t="shared" si="81"/>
        <v>2200µF</v>
      </c>
      <c r="R396" s="12" t="str">
        <f t="shared" si="82"/>
        <v>6.3v</v>
      </c>
      <c r="S396" s="8" t="str">
        <f t="shared" si="75"/>
        <v>2200µF 6.3v - R10.0-16.0 Jamicon (SK)</v>
      </c>
      <c r="T396" s="8">
        <f t="shared" si="83"/>
        <v>1</v>
      </c>
      <c r="U396" s="8" t="b">
        <f>NOT(ISNA(MATCH($P396,Packages!$A:$A,0)))</f>
        <v>1</v>
      </c>
    </row>
    <row r="397" spans="1:21" hidden="1">
      <c r="A397" s="6" t="s">
        <v>47</v>
      </c>
      <c r="B397" s="6" t="s">
        <v>48</v>
      </c>
      <c r="C397" s="33">
        <v>2200</v>
      </c>
      <c r="D397" s="34">
        <v>6.3</v>
      </c>
      <c r="E397" s="6" t="s">
        <v>94</v>
      </c>
      <c r="F397" s="6" t="s">
        <v>59</v>
      </c>
      <c r="G397" s="6"/>
      <c r="H397" s="7" t="s">
        <v>141</v>
      </c>
      <c r="I397" s="7"/>
      <c r="J397" s="7" t="str">
        <f t="shared" si="76"/>
        <v>JAMICON</v>
      </c>
      <c r="K397" s="7" t="str">
        <f t="shared" si="77"/>
        <v>2200µF 6.3v</v>
      </c>
      <c r="L397" s="7" t="str">
        <f t="shared" si="84"/>
        <v>SK</v>
      </c>
      <c r="M397" s="31">
        <f t="shared" si="78"/>
        <v>10</v>
      </c>
      <c r="N397" s="31">
        <f t="shared" si="79"/>
        <v>20</v>
      </c>
      <c r="O397" s="8" t="str">
        <f t="shared" si="80"/>
        <v>Jamicon-SK</v>
      </c>
      <c r="P397" s="12" t="str">
        <f t="shared" si="74"/>
        <v>Jamicon R-10.0x20.0</v>
      </c>
      <c r="Q397" s="12" t="str">
        <f t="shared" si="81"/>
        <v>2200µF</v>
      </c>
      <c r="R397" s="12" t="str">
        <f t="shared" si="82"/>
        <v>6.3v</v>
      </c>
      <c r="S397" s="8" t="str">
        <f t="shared" si="75"/>
        <v>2200µF 6.3v - R10.0-20.0 Jamicon (SK)</v>
      </c>
      <c r="T397" s="8">
        <f t="shared" si="83"/>
        <v>1</v>
      </c>
      <c r="U397" s="8" t="b">
        <f>NOT(ISNA(MATCH($P397,Packages!$A:$A,0)))</f>
        <v>1</v>
      </c>
    </row>
    <row r="398" spans="1:21" hidden="1">
      <c r="A398" s="6" t="s">
        <v>47</v>
      </c>
      <c r="B398" s="6" t="s">
        <v>48</v>
      </c>
      <c r="C398" s="33">
        <v>3300</v>
      </c>
      <c r="D398" s="34">
        <v>6.3</v>
      </c>
      <c r="E398" s="6" t="s">
        <v>94</v>
      </c>
      <c r="F398" s="6" t="s">
        <v>59</v>
      </c>
      <c r="G398" s="6"/>
      <c r="H398" s="7" t="s">
        <v>141</v>
      </c>
      <c r="I398" s="7"/>
      <c r="J398" s="7" t="str">
        <f t="shared" si="76"/>
        <v>JAMICON</v>
      </c>
      <c r="K398" s="7" t="str">
        <f t="shared" si="77"/>
        <v>3300µF 6.3v</v>
      </c>
      <c r="L398" s="7" t="str">
        <f t="shared" si="84"/>
        <v>SK</v>
      </c>
      <c r="M398" s="31">
        <f t="shared" si="78"/>
        <v>10</v>
      </c>
      <c r="N398" s="31">
        <f t="shared" si="79"/>
        <v>20</v>
      </c>
      <c r="O398" s="8" t="str">
        <f t="shared" si="80"/>
        <v>Jamicon-SK</v>
      </c>
      <c r="P398" s="12" t="str">
        <f t="shared" si="74"/>
        <v>Jamicon R-10.0x20.0</v>
      </c>
      <c r="Q398" s="12" t="str">
        <f t="shared" si="81"/>
        <v>3300µF</v>
      </c>
      <c r="R398" s="12" t="str">
        <f t="shared" si="82"/>
        <v>6.3v</v>
      </c>
      <c r="S398" s="8" t="str">
        <f t="shared" si="75"/>
        <v>3300µF 6.3v - R10.0-20.0 Jamicon (SK)</v>
      </c>
      <c r="T398" s="8">
        <f t="shared" si="83"/>
        <v>1</v>
      </c>
      <c r="U398" s="8" t="b">
        <f>NOT(ISNA(MATCH($P398,Packages!$A:$A,0)))</f>
        <v>1</v>
      </c>
    </row>
    <row r="399" spans="1:21" hidden="1">
      <c r="A399" s="6" t="s">
        <v>47</v>
      </c>
      <c r="B399" s="6" t="s">
        <v>48</v>
      </c>
      <c r="C399" s="33">
        <v>3300</v>
      </c>
      <c r="D399" s="34">
        <v>6.3</v>
      </c>
      <c r="E399" s="6" t="s">
        <v>95</v>
      </c>
      <c r="F399" s="6" t="s">
        <v>59</v>
      </c>
      <c r="G399" s="6"/>
      <c r="H399" s="7" t="s">
        <v>141</v>
      </c>
      <c r="I399" s="7"/>
      <c r="J399" s="7" t="str">
        <f t="shared" si="76"/>
        <v>JAMICON</v>
      </c>
      <c r="K399" s="7" t="str">
        <f t="shared" si="77"/>
        <v>3300µF 6.3v</v>
      </c>
      <c r="L399" s="7" t="str">
        <f t="shared" si="84"/>
        <v>SK</v>
      </c>
      <c r="M399" s="31">
        <f t="shared" si="78"/>
        <v>12.5</v>
      </c>
      <c r="N399" s="31">
        <f t="shared" si="79"/>
        <v>20</v>
      </c>
      <c r="O399" s="8" t="str">
        <f t="shared" si="80"/>
        <v>Jamicon-SK</v>
      </c>
      <c r="P399" s="12" t="str">
        <f t="shared" si="74"/>
        <v>Jamicon R-13.0x20.0</v>
      </c>
      <c r="Q399" s="12" t="str">
        <f t="shared" si="81"/>
        <v>3300µF</v>
      </c>
      <c r="R399" s="12" t="str">
        <f t="shared" si="82"/>
        <v>6.3v</v>
      </c>
      <c r="S399" s="8" t="str">
        <f t="shared" si="75"/>
        <v>3300µF 6.3v - R12.5-20.0 Jamicon (SK)</v>
      </c>
      <c r="T399" s="8">
        <f t="shared" si="83"/>
        <v>1</v>
      </c>
      <c r="U399" s="8" t="b">
        <f>NOT(ISNA(MATCH($P399,Packages!$A:$A,0)))</f>
        <v>1</v>
      </c>
    </row>
    <row r="400" spans="1:21" hidden="1">
      <c r="A400" s="6" t="s">
        <v>47</v>
      </c>
      <c r="B400" s="6" t="s">
        <v>48</v>
      </c>
      <c r="C400" s="33">
        <v>4700</v>
      </c>
      <c r="D400" s="34">
        <v>6.3</v>
      </c>
      <c r="E400" s="6" t="s">
        <v>95</v>
      </c>
      <c r="F400" s="6" t="s">
        <v>59</v>
      </c>
      <c r="G400" s="6"/>
      <c r="H400" s="7" t="s">
        <v>141</v>
      </c>
      <c r="I400" s="7"/>
      <c r="J400" s="7" t="str">
        <f t="shared" si="76"/>
        <v>JAMICON</v>
      </c>
      <c r="K400" s="7" t="str">
        <f t="shared" si="77"/>
        <v>4700µF 6.3v</v>
      </c>
      <c r="L400" s="7" t="str">
        <f t="shared" si="84"/>
        <v>SK</v>
      </c>
      <c r="M400" s="31">
        <f t="shared" si="78"/>
        <v>12.5</v>
      </c>
      <c r="N400" s="31">
        <f t="shared" si="79"/>
        <v>20</v>
      </c>
      <c r="O400" s="8" t="str">
        <f t="shared" si="80"/>
        <v>Jamicon-SK</v>
      </c>
      <c r="P400" s="12" t="str">
        <f t="shared" si="74"/>
        <v>Jamicon R-13.0x20.0</v>
      </c>
      <c r="Q400" s="12" t="str">
        <f t="shared" si="81"/>
        <v>4700µF</v>
      </c>
      <c r="R400" s="12" t="str">
        <f t="shared" si="82"/>
        <v>6.3v</v>
      </c>
      <c r="S400" s="8" t="str">
        <f t="shared" si="75"/>
        <v>4700µF 6.3v - R12.5-20.0 Jamicon (SK)</v>
      </c>
      <c r="T400" s="8">
        <f t="shared" si="83"/>
        <v>1</v>
      </c>
      <c r="U400" s="8" t="b">
        <f>NOT(ISNA(MATCH($P400,Packages!$A:$A,0)))</f>
        <v>1</v>
      </c>
    </row>
    <row r="401" spans="1:21" hidden="1">
      <c r="A401" s="6" t="s">
        <v>47</v>
      </c>
      <c r="B401" s="6" t="s">
        <v>48</v>
      </c>
      <c r="C401" s="33">
        <v>4700</v>
      </c>
      <c r="D401" s="34">
        <v>6.3</v>
      </c>
      <c r="E401" s="6" t="s">
        <v>96</v>
      </c>
      <c r="F401" s="6" t="s">
        <v>59</v>
      </c>
      <c r="G401" s="6"/>
      <c r="H401" s="7" t="s">
        <v>141</v>
      </c>
      <c r="I401" s="7"/>
      <c r="J401" s="7" t="str">
        <f t="shared" si="76"/>
        <v>JAMICON</v>
      </c>
      <c r="K401" s="7" t="str">
        <f t="shared" si="77"/>
        <v>4700µF 6.3v</v>
      </c>
      <c r="L401" s="7" t="str">
        <f t="shared" si="84"/>
        <v>SK</v>
      </c>
      <c r="M401" s="31">
        <f t="shared" si="78"/>
        <v>12.5</v>
      </c>
      <c r="N401" s="31">
        <f t="shared" si="79"/>
        <v>25</v>
      </c>
      <c r="O401" s="8" t="str">
        <f t="shared" si="80"/>
        <v>Jamicon-SK</v>
      </c>
      <c r="P401" s="12" t="str">
        <f t="shared" si="74"/>
        <v>Jamicon R-13.0x25.0</v>
      </c>
      <c r="Q401" s="12" t="str">
        <f t="shared" si="81"/>
        <v>4700µF</v>
      </c>
      <c r="R401" s="12" t="str">
        <f t="shared" si="82"/>
        <v>6.3v</v>
      </c>
      <c r="S401" s="8" t="str">
        <f t="shared" si="75"/>
        <v>4700µF 6.3v - R12.5-25.0 Jamicon (SK)</v>
      </c>
      <c r="T401" s="8">
        <f t="shared" si="83"/>
        <v>1</v>
      </c>
      <c r="U401" s="8" t="b">
        <f>NOT(ISNA(MATCH($P401,Packages!$A:$A,0)))</f>
        <v>1</v>
      </c>
    </row>
    <row r="402" spans="1:21" hidden="1">
      <c r="A402" s="6" t="s">
        <v>47</v>
      </c>
      <c r="B402" s="6" t="s">
        <v>48</v>
      </c>
      <c r="C402" s="33">
        <v>6800</v>
      </c>
      <c r="D402" s="34">
        <v>6.3</v>
      </c>
      <c r="E402" s="6" t="s">
        <v>96</v>
      </c>
      <c r="F402" s="6" t="s">
        <v>59</v>
      </c>
      <c r="G402" s="6"/>
      <c r="H402" s="7" t="s">
        <v>141</v>
      </c>
      <c r="I402" s="7"/>
      <c r="J402" s="7" t="str">
        <f t="shared" si="76"/>
        <v>JAMICON</v>
      </c>
      <c r="K402" s="7" t="str">
        <f t="shared" si="77"/>
        <v>6800µF 6.3v</v>
      </c>
      <c r="L402" s="7" t="str">
        <f t="shared" si="84"/>
        <v>SK</v>
      </c>
      <c r="M402" s="31">
        <f t="shared" si="78"/>
        <v>12.5</v>
      </c>
      <c r="N402" s="31">
        <f t="shared" si="79"/>
        <v>25</v>
      </c>
      <c r="O402" s="8" t="str">
        <f t="shared" si="80"/>
        <v>Jamicon-SK</v>
      </c>
      <c r="P402" s="12" t="str">
        <f t="shared" si="74"/>
        <v>Jamicon R-13.0x25.0</v>
      </c>
      <c r="Q402" s="12" t="str">
        <f t="shared" si="81"/>
        <v>6800µF</v>
      </c>
      <c r="R402" s="12" t="str">
        <f t="shared" si="82"/>
        <v>6.3v</v>
      </c>
      <c r="S402" s="8" t="str">
        <f t="shared" si="75"/>
        <v>6800µF 6.3v - R12.5-25.0 Jamicon (SK)</v>
      </c>
      <c r="T402" s="8">
        <f t="shared" si="83"/>
        <v>1</v>
      </c>
      <c r="U402" s="8" t="b">
        <f>NOT(ISNA(MATCH($P402,Packages!$A:$A,0)))</f>
        <v>1</v>
      </c>
    </row>
    <row r="403" spans="1:21" hidden="1">
      <c r="A403" s="6" t="s">
        <v>47</v>
      </c>
      <c r="B403" s="6" t="s">
        <v>48</v>
      </c>
      <c r="C403" s="33">
        <v>6800</v>
      </c>
      <c r="D403" s="34">
        <v>6.3</v>
      </c>
      <c r="E403" s="6" t="s">
        <v>97</v>
      </c>
      <c r="F403" s="6" t="s">
        <v>59</v>
      </c>
      <c r="G403" s="6"/>
      <c r="H403" s="7" t="s">
        <v>141</v>
      </c>
      <c r="I403" s="7"/>
      <c r="J403" s="7" t="str">
        <f t="shared" si="76"/>
        <v>JAMICON</v>
      </c>
      <c r="K403" s="7" t="str">
        <f t="shared" si="77"/>
        <v>6800µF 6.3v</v>
      </c>
      <c r="L403" s="7" t="str">
        <f t="shared" si="84"/>
        <v>SK</v>
      </c>
      <c r="M403" s="31">
        <f t="shared" si="78"/>
        <v>16</v>
      </c>
      <c r="N403" s="31">
        <f t="shared" si="79"/>
        <v>25</v>
      </c>
      <c r="O403" s="8" t="str">
        <f t="shared" si="80"/>
        <v>Jamicon-SK</v>
      </c>
      <c r="P403" s="12" t="str">
        <f t="shared" si="74"/>
        <v>Jamicon R-16.0x25.0</v>
      </c>
      <c r="Q403" s="12" t="str">
        <f t="shared" si="81"/>
        <v>6800µF</v>
      </c>
      <c r="R403" s="12" t="str">
        <f t="shared" si="82"/>
        <v>6.3v</v>
      </c>
      <c r="S403" s="8" t="str">
        <f t="shared" si="75"/>
        <v>6800µF 6.3v - R16.0-25.0 Jamicon (SK)</v>
      </c>
      <c r="T403" s="8">
        <f t="shared" si="83"/>
        <v>1</v>
      </c>
      <c r="U403" s="8" t="b">
        <f>NOT(ISNA(MATCH($P403,Packages!$A:$A,0)))</f>
        <v>1</v>
      </c>
    </row>
    <row r="404" spans="1:21" hidden="1">
      <c r="A404" s="6" t="s">
        <v>47</v>
      </c>
      <c r="B404" s="6" t="s">
        <v>48</v>
      </c>
      <c r="C404" s="33">
        <v>8200</v>
      </c>
      <c r="D404" s="34">
        <v>6.3</v>
      </c>
      <c r="E404" s="6" t="s">
        <v>97</v>
      </c>
      <c r="F404" s="6" t="s">
        <v>59</v>
      </c>
      <c r="G404" s="6"/>
      <c r="H404" s="7" t="s">
        <v>141</v>
      </c>
      <c r="I404" s="7"/>
      <c r="J404" s="7" t="str">
        <f t="shared" si="76"/>
        <v>JAMICON</v>
      </c>
      <c r="K404" s="7" t="str">
        <f t="shared" si="77"/>
        <v>8200µF 6.3v</v>
      </c>
      <c r="L404" s="7" t="str">
        <f t="shared" si="84"/>
        <v>SK</v>
      </c>
      <c r="M404" s="31">
        <f t="shared" si="78"/>
        <v>16</v>
      </c>
      <c r="N404" s="31">
        <f t="shared" si="79"/>
        <v>25</v>
      </c>
      <c r="O404" s="8" t="str">
        <f t="shared" si="80"/>
        <v>Jamicon-SK</v>
      </c>
      <c r="P404" s="12" t="str">
        <f t="shared" si="74"/>
        <v>Jamicon R-16.0x25.0</v>
      </c>
      <c r="Q404" s="12" t="str">
        <f t="shared" si="81"/>
        <v>8200µF</v>
      </c>
      <c r="R404" s="12" t="str">
        <f t="shared" si="82"/>
        <v>6.3v</v>
      </c>
      <c r="S404" s="8" t="str">
        <f t="shared" si="75"/>
        <v>8200µF 6.3v - R16.0-25.0 Jamicon (SK)</v>
      </c>
      <c r="T404" s="8">
        <f t="shared" si="83"/>
        <v>1</v>
      </c>
      <c r="U404" s="8" t="b">
        <f>NOT(ISNA(MATCH($P404,Packages!$A:$A,0)))</f>
        <v>1</v>
      </c>
    </row>
    <row r="405" spans="1:21" hidden="1">
      <c r="A405" s="6" t="s">
        <v>47</v>
      </c>
      <c r="B405" s="6" t="s">
        <v>48</v>
      </c>
      <c r="C405" s="33">
        <v>8200</v>
      </c>
      <c r="D405" s="34">
        <v>6.3</v>
      </c>
      <c r="E405" s="6" t="s">
        <v>98</v>
      </c>
      <c r="F405" s="6" t="s">
        <v>59</v>
      </c>
      <c r="G405" s="6"/>
      <c r="H405" s="7" t="s">
        <v>141</v>
      </c>
      <c r="I405" s="7"/>
      <c r="J405" s="7" t="str">
        <f t="shared" si="76"/>
        <v>JAMICON</v>
      </c>
      <c r="K405" s="7" t="str">
        <f t="shared" si="77"/>
        <v>8200µF 6.3v</v>
      </c>
      <c r="L405" s="7" t="str">
        <f t="shared" si="84"/>
        <v>SK</v>
      </c>
      <c r="M405" s="31">
        <f t="shared" si="78"/>
        <v>16</v>
      </c>
      <c r="N405" s="31">
        <f t="shared" si="79"/>
        <v>31.5</v>
      </c>
      <c r="O405" s="8" t="str">
        <f t="shared" si="80"/>
        <v>Jamicon-SK</v>
      </c>
      <c r="P405" s="12" t="str">
        <f t="shared" si="74"/>
        <v>Jamicon R-16.0x32.0</v>
      </c>
      <c r="Q405" s="12" t="str">
        <f t="shared" si="81"/>
        <v>8200µF</v>
      </c>
      <c r="R405" s="12" t="str">
        <f t="shared" si="82"/>
        <v>6.3v</v>
      </c>
      <c r="S405" s="8" t="str">
        <f t="shared" si="75"/>
        <v>8200µF 6.3v - R16.0-31.5 Jamicon (SK)</v>
      </c>
      <c r="T405" s="8">
        <f t="shared" si="83"/>
        <v>1</v>
      </c>
      <c r="U405" s="8" t="b">
        <f>NOT(ISNA(MATCH($P405,Packages!$A:$A,0)))</f>
        <v>1</v>
      </c>
    </row>
    <row r="406" spans="1:21" hidden="1">
      <c r="A406" s="6" t="s">
        <v>47</v>
      </c>
      <c r="B406" s="6" t="s">
        <v>48</v>
      </c>
      <c r="C406" s="33">
        <v>10000</v>
      </c>
      <c r="D406" s="34">
        <v>6.3</v>
      </c>
      <c r="E406" s="6" t="s">
        <v>97</v>
      </c>
      <c r="F406" s="6" t="s">
        <v>59</v>
      </c>
      <c r="G406" s="6"/>
      <c r="H406" s="7" t="s">
        <v>141</v>
      </c>
      <c r="I406" s="7"/>
      <c r="J406" s="7" t="str">
        <f t="shared" si="76"/>
        <v>JAMICON</v>
      </c>
      <c r="K406" s="7" t="str">
        <f t="shared" si="77"/>
        <v>10000µF 6.3v</v>
      </c>
      <c r="L406" s="7" t="str">
        <f t="shared" si="84"/>
        <v>SK</v>
      </c>
      <c r="M406" s="31">
        <f t="shared" si="78"/>
        <v>16</v>
      </c>
      <c r="N406" s="31">
        <f t="shared" si="79"/>
        <v>25</v>
      </c>
      <c r="O406" s="8" t="str">
        <f t="shared" si="80"/>
        <v>Jamicon-SK</v>
      </c>
      <c r="P406" s="12" t="str">
        <f t="shared" si="74"/>
        <v>Jamicon R-16.0x25.0</v>
      </c>
      <c r="Q406" s="12" t="str">
        <f t="shared" si="81"/>
        <v>10000µF</v>
      </c>
      <c r="R406" s="12" t="str">
        <f t="shared" si="82"/>
        <v>6.3v</v>
      </c>
      <c r="S406" s="8" t="str">
        <f t="shared" si="75"/>
        <v>10000µF 6.3v - R16.0-25.0 Jamicon (SK)</v>
      </c>
      <c r="T406" s="8">
        <f t="shared" si="83"/>
        <v>1</v>
      </c>
      <c r="U406" s="8" t="b">
        <f>NOT(ISNA(MATCH($P406,Packages!$A:$A,0)))</f>
        <v>1</v>
      </c>
    </row>
    <row r="407" spans="1:21" hidden="1">
      <c r="A407" s="6" t="s">
        <v>47</v>
      </c>
      <c r="B407" s="6" t="s">
        <v>48</v>
      </c>
      <c r="C407" s="33">
        <v>10000</v>
      </c>
      <c r="D407" s="34">
        <v>6.3</v>
      </c>
      <c r="E407" s="6" t="s">
        <v>98</v>
      </c>
      <c r="F407" s="6" t="s">
        <v>59</v>
      </c>
      <c r="G407" s="6"/>
      <c r="H407" s="7" t="s">
        <v>141</v>
      </c>
      <c r="I407" s="7"/>
      <c r="J407" s="7" t="str">
        <f t="shared" si="76"/>
        <v>JAMICON</v>
      </c>
      <c r="K407" s="7" t="str">
        <f t="shared" si="77"/>
        <v>10000µF 6.3v</v>
      </c>
      <c r="L407" s="7" t="str">
        <f t="shared" si="84"/>
        <v>SK</v>
      </c>
      <c r="M407" s="31">
        <f t="shared" si="78"/>
        <v>16</v>
      </c>
      <c r="N407" s="31">
        <f t="shared" si="79"/>
        <v>31.5</v>
      </c>
      <c r="O407" s="8" t="str">
        <f t="shared" si="80"/>
        <v>Jamicon-SK</v>
      </c>
      <c r="P407" s="12" t="str">
        <f t="shared" si="74"/>
        <v>Jamicon R-16.0x32.0</v>
      </c>
      <c r="Q407" s="12" t="str">
        <f t="shared" si="81"/>
        <v>10000µF</v>
      </c>
      <c r="R407" s="12" t="str">
        <f t="shared" si="82"/>
        <v>6.3v</v>
      </c>
      <c r="S407" s="8" t="str">
        <f t="shared" si="75"/>
        <v>10000µF 6.3v - R16.0-31.5 Jamicon (SK)</v>
      </c>
      <c r="T407" s="8">
        <f t="shared" si="83"/>
        <v>1</v>
      </c>
      <c r="U407" s="8" t="b">
        <f>NOT(ISNA(MATCH($P407,Packages!$A:$A,0)))</f>
        <v>1</v>
      </c>
    </row>
    <row r="408" spans="1:21" hidden="1">
      <c r="A408" s="6" t="s">
        <v>47</v>
      </c>
      <c r="B408" s="6" t="s">
        <v>48</v>
      </c>
      <c r="C408" s="33">
        <v>15000</v>
      </c>
      <c r="D408" s="34">
        <v>6.3</v>
      </c>
      <c r="E408" s="6" t="s">
        <v>99</v>
      </c>
      <c r="F408" s="6" t="s">
        <v>59</v>
      </c>
      <c r="G408" s="6"/>
      <c r="H408" s="7" t="s">
        <v>141</v>
      </c>
      <c r="I408" s="7"/>
      <c r="J408" s="7" t="str">
        <f t="shared" si="76"/>
        <v>JAMICON</v>
      </c>
      <c r="K408" s="7" t="str">
        <f t="shared" si="77"/>
        <v>15000µF 6.3v</v>
      </c>
      <c r="L408" s="7" t="str">
        <f t="shared" ref="L408:L471" si="85">B408</f>
        <v>SK</v>
      </c>
      <c r="M408" s="31">
        <f t="shared" si="78"/>
        <v>16</v>
      </c>
      <c r="N408" s="31">
        <f t="shared" si="79"/>
        <v>35.5</v>
      </c>
      <c r="O408" s="8" t="str">
        <f t="shared" si="80"/>
        <v>Jamicon-SK</v>
      </c>
      <c r="P408" s="12" t="str">
        <f t="shared" si="74"/>
        <v>Jamicon R-16.0x36.0</v>
      </c>
      <c r="Q408" s="12" t="str">
        <f t="shared" si="81"/>
        <v>15000µF</v>
      </c>
      <c r="R408" s="12" t="str">
        <f t="shared" si="82"/>
        <v>6.3v</v>
      </c>
      <c r="S408" s="8" t="str">
        <f t="shared" si="75"/>
        <v>15000µF 6.3v - R16.0-35.5 Jamicon (SK)</v>
      </c>
      <c r="T408" s="8">
        <f t="shared" si="83"/>
        <v>1</v>
      </c>
      <c r="U408" s="8" t="b">
        <f>NOT(ISNA(MATCH($P408,Packages!$A:$A,0)))</f>
        <v>1</v>
      </c>
    </row>
    <row r="409" spans="1:21" hidden="1">
      <c r="A409" s="6" t="s">
        <v>47</v>
      </c>
      <c r="B409" s="6" t="s">
        <v>48</v>
      </c>
      <c r="C409" s="33">
        <v>15000</v>
      </c>
      <c r="D409" s="34">
        <v>6.3</v>
      </c>
      <c r="E409" s="6" t="s">
        <v>100</v>
      </c>
      <c r="F409" s="6" t="s">
        <v>59</v>
      </c>
      <c r="G409" s="6"/>
      <c r="H409" s="7" t="s">
        <v>141</v>
      </c>
      <c r="I409" s="7"/>
      <c r="J409" s="7" t="str">
        <f t="shared" si="76"/>
        <v>JAMICON</v>
      </c>
      <c r="K409" s="7" t="str">
        <f t="shared" si="77"/>
        <v>15000µF 6.3v</v>
      </c>
      <c r="L409" s="7" t="str">
        <f t="shared" si="85"/>
        <v>SK</v>
      </c>
      <c r="M409" s="31">
        <f t="shared" si="78"/>
        <v>18</v>
      </c>
      <c r="N409" s="31">
        <f t="shared" si="79"/>
        <v>35.5</v>
      </c>
      <c r="O409" s="8" t="str">
        <f t="shared" si="80"/>
        <v>Jamicon-SK</v>
      </c>
      <c r="P409" s="12" t="str">
        <f t="shared" si="74"/>
        <v>Jamicon R-18.0x36.0</v>
      </c>
      <c r="Q409" s="12" t="str">
        <f t="shared" si="81"/>
        <v>15000µF</v>
      </c>
      <c r="R409" s="12" t="str">
        <f t="shared" si="82"/>
        <v>6.3v</v>
      </c>
      <c r="S409" s="8" t="str">
        <f t="shared" si="75"/>
        <v>15000µF 6.3v - R18.0-35.5 Jamicon (SK)</v>
      </c>
      <c r="T409" s="8">
        <f t="shared" si="83"/>
        <v>1</v>
      </c>
      <c r="U409" s="8" t="b">
        <f>NOT(ISNA(MATCH($P409,Packages!$A:$A,0)))</f>
        <v>1</v>
      </c>
    </row>
    <row r="410" spans="1:21" hidden="1">
      <c r="A410" s="6" t="s">
        <v>47</v>
      </c>
      <c r="B410" s="6" t="s">
        <v>48</v>
      </c>
      <c r="C410" s="33">
        <v>22000</v>
      </c>
      <c r="D410" s="34">
        <v>6.3</v>
      </c>
      <c r="E410" s="6" t="s">
        <v>101</v>
      </c>
      <c r="F410" s="6" t="s">
        <v>59</v>
      </c>
      <c r="G410" s="6"/>
      <c r="H410" s="7" t="s">
        <v>141</v>
      </c>
      <c r="I410" s="7"/>
      <c r="J410" s="7" t="str">
        <f t="shared" si="76"/>
        <v>JAMICON</v>
      </c>
      <c r="K410" s="7" t="str">
        <f t="shared" si="77"/>
        <v>22000µF 6.3v</v>
      </c>
      <c r="L410" s="7" t="str">
        <f t="shared" si="85"/>
        <v>SK</v>
      </c>
      <c r="M410" s="31">
        <f t="shared" si="78"/>
        <v>18</v>
      </c>
      <c r="N410" s="31">
        <f t="shared" si="79"/>
        <v>40</v>
      </c>
      <c r="O410" s="8" t="str">
        <f t="shared" si="80"/>
        <v>Jamicon-SK</v>
      </c>
      <c r="P410" s="12" t="str">
        <f t="shared" si="74"/>
        <v>Jamicon R-18.0x40.0</v>
      </c>
      <c r="Q410" s="12" t="str">
        <f t="shared" si="81"/>
        <v>22000µF</v>
      </c>
      <c r="R410" s="12" t="str">
        <f t="shared" si="82"/>
        <v>6.3v</v>
      </c>
      <c r="S410" s="8" t="str">
        <f t="shared" si="75"/>
        <v>22000µF 6.3v - R18.0-40.0 Jamicon (SK)</v>
      </c>
      <c r="T410" s="8">
        <f t="shared" si="83"/>
        <v>1</v>
      </c>
      <c r="U410" s="8" t="b">
        <f>NOT(ISNA(MATCH($P410,Packages!$A:$A,0)))</f>
        <v>1</v>
      </c>
    </row>
    <row r="411" spans="1:21" hidden="1">
      <c r="A411" s="6" t="s">
        <v>47</v>
      </c>
      <c r="B411" s="6" t="s">
        <v>48</v>
      </c>
      <c r="C411" s="33">
        <v>100</v>
      </c>
      <c r="D411" s="34">
        <v>10</v>
      </c>
      <c r="E411" s="6" t="s">
        <v>68</v>
      </c>
      <c r="F411" s="6" t="s">
        <v>59</v>
      </c>
      <c r="G411" s="6"/>
      <c r="H411" s="7" t="s">
        <v>141</v>
      </c>
      <c r="I411" s="7"/>
      <c r="J411" s="7" t="str">
        <f t="shared" si="76"/>
        <v>JAMICON</v>
      </c>
      <c r="K411" s="7" t="str">
        <f t="shared" si="77"/>
        <v>100µF 10v</v>
      </c>
      <c r="L411" s="7" t="str">
        <f t="shared" si="85"/>
        <v>SK</v>
      </c>
      <c r="M411" s="31">
        <f t="shared" si="78"/>
        <v>5</v>
      </c>
      <c r="N411" s="31">
        <f t="shared" si="79"/>
        <v>11</v>
      </c>
      <c r="O411" s="8" t="str">
        <f t="shared" si="80"/>
        <v>Jamicon-SK</v>
      </c>
      <c r="P411" s="12" t="str">
        <f t="shared" si="74"/>
        <v>Jamicon R-05.0x11.0</v>
      </c>
      <c r="Q411" s="12" t="str">
        <f t="shared" si="81"/>
        <v>100µF</v>
      </c>
      <c r="R411" s="12" t="str">
        <f t="shared" si="82"/>
        <v>10v</v>
      </c>
      <c r="S411" s="8" t="str">
        <f t="shared" si="75"/>
        <v>100µF 10v - R05.0-11.0 Jamicon (SK)</v>
      </c>
      <c r="T411" s="8">
        <f t="shared" si="83"/>
        <v>1</v>
      </c>
      <c r="U411" s="8" t="b">
        <f>NOT(ISNA(MATCH($P411,Packages!$A:$A,0)))</f>
        <v>1</v>
      </c>
    </row>
    <row r="412" spans="1:21" hidden="1">
      <c r="A412" s="6" t="s">
        <v>47</v>
      </c>
      <c r="B412" s="6" t="s">
        <v>48</v>
      </c>
      <c r="C412" s="33">
        <v>220</v>
      </c>
      <c r="D412" s="34">
        <v>10</v>
      </c>
      <c r="E412" s="6" t="s">
        <v>68</v>
      </c>
      <c r="F412" s="6" t="s">
        <v>59</v>
      </c>
      <c r="G412" s="6"/>
      <c r="H412" s="7" t="s">
        <v>141</v>
      </c>
      <c r="I412" s="7"/>
      <c r="J412" s="7" t="str">
        <f t="shared" si="76"/>
        <v>JAMICON</v>
      </c>
      <c r="K412" s="7" t="str">
        <f t="shared" si="77"/>
        <v>220µF 10v</v>
      </c>
      <c r="L412" s="7" t="str">
        <f t="shared" si="85"/>
        <v>SK</v>
      </c>
      <c r="M412" s="31">
        <f t="shared" si="78"/>
        <v>5</v>
      </c>
      <c r="N412" s="31">
        <f t="shared" si="79"/>
        <v>11</v>
      </c>
      <c r="O412" s="8" t="str">
        <f t="shared" si="80"/>
        <v>Jamicon-SK</v>
      </c>
      <c r="P412" s="12" t="str">
        <f t="shared" si="74"/>
        <v>Jamicon R-05.0x11.0</v>
      </c>
      <c r="Q412" s="12" t="str">
        <f t="shared" si="81"/>
        <v>220µF</v>
      </c>
      <c r="R412" s="12" t="str">
        <f t="shared" si="82"/>
        <v>10v</v>
      </c>
      <c r="S412" s="8" t="str">
        <f t="shared" si="75"/>
        <v>220µF 10v - R05.0-11.0 Jamicon (SK)</v>
      </c>
      <c r="T412" s="8">
        <f t="shared" si="83"/>
        <v>1</v>
      </c>
      <c r="U412" s="8" t="b">
        <f>NOT(ISNA(MATCH($P412,Packages!$A:$A,0)))</f>
        <v>1</v>
      </c>
    </row>
    <row r="413" spans="1:21" hidden="1">
      <c r="A413" s="6" t="s">
        <v>47</v>
      </c>
      <c r="B413" s="6" t="s">
        <v>48</v>
      </c>
      <c r="C413" s="33">
        <v>220</v>
      </c>
      <c r="D413" s="34">
        <v>10</v>
      </c>
      <c r="E413" s="6" t="s">
        <v>69</v>
      </c>
      <c r="F413" s="6" t="s">
        <v>59</v>
      </c>
      <c r="G413" s="6"/>
      <c r="H413" s="7" t="s">
        <v>141</v>
      </c>
      <c r="I413" s="7"/>
      <c r="J413" s="7" t="str">
        <f t="shared" si="76"/>
        <v>JAMICON</v>
      </c>
      <c r="K413" s="7" t="str">
        <f t="shared" si="77"/>
        <v>220µF 10v</v>
      </c>
      <c r="L413" s="7" t="str">
        <f t="shared" si="85"/>
        <v>SK</v>
      </c>
      <c r="M413" s="31">
        <f t="shared" si="78"/>
        <v>6.3</v>
      </c>
      <c r="N413" s="31">
        <f t="shared" si="79"/>
        <v>11</v>
      </c>
      <c r="O413" s="8" t="str">
        <f t="shared" si="80"/>
        <v>Jamicon-SK</v>
      </c>
      <c r="P413" s="12" t="str">
        <f t="shared" si="74"/>
        <v>Jamicon R-06.0x11.0</v>
      </c>
      <c r="Q413" s="12" t="str">
        <f t="shared" si="81"/>
        <v>220µF</v>
      </c>
      <c r="R413" s="12" t="str">
        <f t="shared" si="82"/>
        <v>10v</v>
      </c>
      <c r="S413" s="8" t="str">
        <f t="shared" si="75"/>
        <v>220µF 10v - R06.3-11.0 Jamicon (SK)</v>
      </c>
      <c r="T413" s="8">
        <f t="shared" si="83"/>
        <v>1</v>
      </c>
      <c r="U413" s="8" t="b">
        <f>NOT(ISNA(MATCH($P413,Packages!$A:$A,0)))</f>
        <v>1</v>
      </c>
    </row>
    <row r="414" spans="1:21" hidden="1">
      <c r="A414" s="6" t="s">
        <v>47</v>
      </c>
      <c r="B414" s="6" t="s">
        <v>48</v>
      </c>
      <c r="C414" s="33">
        <v>330</v>
      </c>
      <c r="D414" s="34">
        <v>10</v>
      </c>
      <c r="E414" s="6" t="s">
        <v>69</v>
      </c>
      <c r="F414" s="6" t="s">
        <v>59</v>
      </c>
      <c r="G414" s="6"/>
      <c r="H414" s="7" t="s">
        <v>141</v>
      </c>
      <c r="I414" s="7"/>
      <c r="J414" s="7" t="str">
        <f t="shared" si="76"/>
        <v>JAMICON</v>
      </c>
      <c r="K414" s="7" t="str">
        <f t="shared" si="77"/>
        <v>330µF 10v</v>
      </c>
      <c r="L414" s="7" t="str">
        <f t="shared" si="85"/>
        <v>SK</v>
      </c>
      <c r="M414" s="31">
        <f t="shared" si="78"/>
        <v>6.3</v>
      </c>
      <c r="N414" s="31">
        <f t="shared" si="79"/>
        <v>11</v>
      </c>
      <c r="O414" s="8" t="str">
        <f t="shared" si="80"/>
        <v>Jamicon-SK</v>
      </c>
      <c r="P414" s="12" t="str">
        <f t="shared" si="74"/>
        <v>Jamicon R-06.0x11.0</v>
      </c>
      <c r="Q414" s="12" t="str">
        <f t="shared" si="81"/>
        <v>330µF</v>
      </c>
      <c r="R414" s="12" t="str">
        <f t="shared" si="82"/>
        <v>10v</v>
      </c>
      <c r="S414" s="8" t="str">
        <f t="shared" si="75"/>
        <v>330µF 10v - R06.3-11.0 Jamicon (SK)</v>
      </c>
      <c r="T414" s="8">
        <f t="shared" si="83"/>
        <v>1</v>
      </c>
      <c r="U414" s="8" t="b">
        <f>NOT(ISNA(MATCH($P414,Packages!$A:$A,0)))</f>
        <v>1</v>
      </c>
    </row>
    <row r="415" spans="1:21" hidden="1">
      <c r="A415" s="6" t="s">
        <v>47</v>
      </c>
      <c r="B415" s="6" t="s">
        <v>48</v>
      </c>
      <c r="C415" s="33">
        <v>330</v>
      </c>
      <c r="D415" s="34">
        <v>10</v>
      </c>
      <c r="E415" s="6" t="s">
        <v>108</v>
      </c>
      <c r="F415" s="6" t="s">
        <v>59</v>
      </c>
      <c r="G415" s="6"/>
      <c r="H415" s="7" t="s">
        <v>141</v>
      </c>
      <c r="I415" s="7"/>
      <c r="J415" s="7" t="str">
        <f t="shared" si="76"/>
        <v>JAMICON</v>
      </c>
      <c r="K415" s="7" t="str">
        <f t="shared" si="77"/>
        <v>330µF 10v</v>
      </c>
      <c r="L415" s="7" t="str">
        <f t="shared" si="85"/>
        <v>SK</v>
      </c>
      <c r="M415" s="31">
        <f t="shared" si="78"/>
        <v>8</v>
      </c>
      <c r="N415" s="31">
        <f t="shared" si="79"/>
        <v>11.5</v>
      </c>
      <c r="O415" s="8" t="str">
        <f t="shared" si="80"/>
        <v>Jamicon-SK</v>
      </c>
      <c r="P415" s="12" t="str">
        <f t="shared" si="74"/>
        <v>Jamicon R-08.0x12.0</v>
      </c>
      <c r="Q415" s="12" t="str">
        <f t="shared" si="81"/>
        <v>330µF</v>
      </c>
      <c r="R415" s="12" t="str">
        <f t="shared" si="82"/>
        <v>10v</v>
      </c>
      <c r="S415" s="8" t="str">
        <f t="shared" si="75"/>
        <v>330µF 10v - R08.0-11.5 Jamicon (SK)</v>
      </c>
      <c r="T415" s="8">
        <f t="shared" si="83"/>
        <v>1</v>
      </c>
      <c r="U415" s="8" t="b">
        <f>NOT(ISNA(MATCH($P415,Packages!$A:$A,0)))</f>
        <v>1</v>
      </c>
    </row>
    <row r="416" spans="1:21" hidden="1">
      <c r="A416" s="6" t="s">
        <v>47</v>
      </c>
      <c r="B416" s="6" t="s">
        <v>48</v>
      </c>
      <c r="C416" s="33">
        <v>470</v>
      </c>
      <c r="D416" s="34">
        <v>10</v>
      </c>
      <c r="E416" s="6" t="s">
        <v>69</v>
      </c>
      <c r="F416" s="6" t="s">
        <v>59</v>
      </c>
      <c r="G416" s="6"/>
      <c r="H416" s="7" t="s">
        <v>141</v>
      </c>
      <c r="I416" s="7"/>
      <c r="J416" s="7" t="str">
        <f t="shared" si="76"/>
        <v>JAMICON</v>
      </c>
      <c r="K416" s="7" t="str">
        <f t="shared" si="77"/>
        <v>470µF 10v</v>
      </c>
      <c r="L416" s="7" t="str">
        <f t="shared" si="85"/>
        <v>SK</v>
      </c>
      <c r="M416" s="31">
        <f t="shared" si="78"/>
        <v>6.3</v>
      </c>
      <c r="N416" s="31">
        <f t="shared" si="79"/>
        <v>11</v>
      </c>
      <c r="O416" s="8" t="str">
        <f t="shared" si="80"/>
        <v>Jamicon-SK</v>
      </c>
      <c r="P416" s="12" t="str">
        <f t="shared" si="74"/>
        <v>Jamicon R-06.0x11.0</v>
      </c>
      <c r="Q416" s="12" t="str">
        <f t="shared" si="81"/>
        <v>470µF</v>
      </c>
      <c r="R416" s="12" t="str">
        <f t="shared" si="82"/>
        <v>10v</v>
      </c>
      <c r="S416" s="8" t="str">
        <f t="shared" si="75"/>
        <v>470µF 10v - R06.3-11.0 Jamicon (SK)</v>
      </c>
      <c r="T416" s="8">
        <f t="shared" si="83"/>
        <v>1</v>
      </c>
      <c r="U416" s="8" t="b">
        <f>NOT(ISNA(MATCH($P416,Packages!$A:$A,0)))</f>
        <v>1</v>
      </c>
    </row>
    <row r="417" spans="1:21" hidden="1">
      <c r="A417" s="6" t="s">
        <v>47</v>
      </c>
      <c r="B417" s="6" t="s">
        <v>48</v>
      </c>
      <c r="C417" s="33">
        <v>470</v>
      </c>
      <c r="D417" s="34">
        <v>10</v>
      </c>
      <c r="E417" s="6" t="s">
        <v>108</v>
      </c>
      <c r="F417" s="6" t="s">
        <v>59</v>
      </c>
      <c r="G417" s="6"/>
      <c r="H417" s="7" t="s">
        <v>141</v>
      </c>
      <c r="I417" s="7"/>
      <c r="J417" s="7" t="str">
        <f t="shared" si="76"/>
        <v>JAMICON</v>
      </c>
      <c r="K417" s="7" t="str">
        <f t="shared" si="77"/>
        <v>470µF 10v</v>
      </c>
      <c r="L417" s="7" t="str">
        <f t="shared" si="85"/>
        <v>SK</v>
      </c>
      <c r="M417" s="31">
        <f t="shared" si="78"/>
        <v>8</v>
      </c>
      <c r="N417" s="31">
        <f t="shared" si="79"/>
        <v>11.5</v>
      </c>
      <c r="O417" s="8" t="str">
        <f t="shared" si="80"/>
        <v>Jamicon-SK</v>
      </c>
      <c r="P417" s="12" t="str">
        <f t="shared" si="74"/>
        <v>Jamicon R-08.0x12.0</v>
      </c>
      <c r="Q417" s="12" t="str">
        <f t="shared" si="81"/>
        <v>470µF</v>
      </c>
      <c r="R417" s="12" t="str">
        <f t="shared" si="82"/>
        <v>10v</v>
      </c>
      <c r="S417" s="8" t="str">
        <f t="shared" si="75"/>
        <v>470µF 10v - R08.0-11.5 Jamicon (SK)</v>
      </c>
      <c r="T417" s="8">
        <f t="shared" si="83"/>
        <v>1</v>
      </c>
      <c r="U417" s="8" t="b">
        <f>NOT(ISNA(MATCH($P417,Packages!$A:$A,0)))</f>
        <v>1</v>
      </c>
    </row>
    <row r="418" spans="1:21" hidden="1">
      <c r="A418" s="6" t="s">
        <v>47</v>
      </c>
      <c r="B418" s="6" t="s">
        <v>48</v>
      </c>
      <c r="C418" s="33">
        <v>1000</v>
      </c>
      <c r="D418" s="34">
        <v>10</v>
      </c>
      <c r="E418" s="6" t="s">
        <v>92</v>
      </c>
      <c r="F418" s="6" t="s">
        <v>59</v>
      </c>
      <c r="G418" s="6"/>
      <c r="H418" s="7" t="s">
        <v>141</v>
      </c>
      <c r="I418" s="7"/>
      <c r="J418" s="7" t="str">
        <f t="shared" si="76"/>
        <v>JAMICON</v>
      </c>
      <c r="K418" s="7" t="str">
        <f t="shared" si="77"/>
        <v>1000µF 10v</v>
      </c>
      <c r="L418" s="7" t="str">
        <f t="shared" si="85"/>
        <v>SK</v>
      </c>
      <c r="M418" s="31">
        <f t="shared" si="78"/>
        <v>10</v>
      </c>
      <c r="N418" s="31">
        <f t="shared" si="79"/>
        <v>12.5</v>
      </c>
      <c r="O418" s="8" t="str">
        <f t="shared" si="80"/>
        <v>Jamicon-SK</v>
      </c>
      <c r="P418" s="12" t="str">
        <f t="shared" si="74"/>
        <v>Jamicon R-10.0x13.0</v>
      </c>
      <c r="Q418" s="12" t="str">
        <f t="shared" si="81"/>
        <v>1000µF</v>
      </c>
      <c r="R418" s="12" t="str">
        <f t="shared" si="82"/>
        <v>10v</v>
      </c>
      <c r="S418" s="8" t="str">
        <f t="shared" si="75"/>
        <v>1000µF 10v - R10.0-12.5 Jamicon (SK)</v>
      </c>
      <c r="T418" s="8">
        <f t="shared" si="83"/>
        <v>1</v>
      </c>
      <c r="U418" s="8" t="b">
        <f>NOT(ISNA(MATCH($P418,Packages!$A:$A,0)))</f>
        <v>1</v>
      </c>
    </row>
    <row r="419" spans="1:21" hidden="1">
      <c r="A419" s="6" t="s">
        <v>47</v>
      </c>
      <c r="B419" s="6" t="s">
        <v>48</v>
      </c>
      <c r="C419" s="33">
        <v>1000</v>
      </c>
      <c r="D419" s="34">
        <v>10</v>
      </c>
      <c r="E419" s="6" t="s">
        <v>74</v>
      </c>
      <c r="F419" s="6" t="s">
        <v>59</v>
      </c>
      <c r="G419" s="6"/>
      <c r="H419" s="7" t="s">
        <v>141</v>
      </c>
      <c r="I419" s="7"/>
      <c r="J419" s="7" t="str">
        <f t="shared" si="76"/>
        <v>JAMICON</v>
      </c>
      <c r="K419" s="7" t="str">
        <f t="shared" si="77"/>
        <v>1000µF 10v</v>
      </c>
      <c r="L419" s="7" t="str">
        <f t="shared" si="85"/>
        <v>SK</v>
      </c>
      <c r="M419" s="31">
        <f t="shared" si="78"/>
        <v>10</v>
      </c>
      <c r="N419" s="31">
        <f t="shared" si="79"/>
        <v>16</v>
      </c>
      <c r="O419" s="8" t="str">
        <f t="shared" si="80"/>
        <v>Jamicon-SK</v>
      </c>
      <c r="P419" s="12" t="str">
        <f t="shared" si="74"/>
        <v>Jamicon R-10.0x16.0</v>
      </c>
      <c r="Q419" s="12" t="str">
        <f t="shared" si="81"/>
        <v>1000µF</v>
      </c>
      <c r="R419" s="12" t="str">
        <f t="shared" si="82"/>
        <v>10v</v>
      </c>
      <c r="S419" s="8" t="str">
        <f t="shared" si="75"/>
        <v>1000µF 10v - R10.0-16.0 Jamicon (SK)</v>
      </c>
      <c r="T419" s="8">
        <f t="shared" si="83"/>
        <v>1</v>
      </c>
      <c r="U419" s="8" t="b">
        <f>NOT(ISNA(MATCH($P419,Packages!$A:$A,0)))</f>
        <v>1</v>
      </c>
    </row>
    <row r="420" spans="1:21" hidden="1">
      <c r="A420" s="6" t="s">
        <v>47</v>
      </c>
      <c r="B420" s="6" t="s">
        <v>48</v>
      </c>
      <c r="C420" s="33">
        <v>2200</v>
      </c>
      <c r="D420" s="34">
        <v>10</v>
      </c>
      <c r="E420" s="6" t="s">
        <v>94</v>
      </c>
      <c r="F420" s="6" t="s">
        <v>59</v>
      </c>
      <c r="G420" s="6"/>
      <c r="H420" s="7" t="s">
        <v>141</v>
      </c>
      <c r="I420" s="7"/>
      <c r="J420" s="7" t="str">
        <f t="shared" si="76"/>
        <v>JAMICON</v>
      </c>
      <c r="K420" s="7" t="str">
        <f t="shared" si="77"/>
        <v>2200µF 10v</v>
      </c>
      <c r="L420" s="7" t="str">
        <f t="shared" si="85"/>
        <v>SK</v>
      </c>
      <c r="M420" s="31">
        <f t="shared" si="78"/>
        <v>10</v>
      </c>
      <c r="N420" s="31">
        <f t="shared" si="79"/>
        <v>20</v>
      </c>
      <c r="O420" s="8" t="str">
        <f t="shared" si="80"/>
        <v>Jamicon-SK</v>
      </c>
      <c r="P420" s="12" t="str">
        <f t="shared" si="74"/>
        <v>Jamicon R-10.0x20.0</v>
      </c>
      <c r="Q420" s="12" t="str">
        <f t="shared" si="81"/>
        <v>2200µF</v>
      </c>
      <c r="R420" s="12" t="str">
        <f t="shared" si="82"/>
        <v>10v</v>
      </c>
      <c r="S420" s="8" t="str">
        <f t="shared" si="75"/>
        <v>2200µF 10v - R10.0-20.0 Jamicon (SK)</v>
      </c>
      <c r="T420" s="8">
        <f t="shared" si="83"/>
        <v>1</v>
      </c>
      <c r="U420" s="8" t="b">
        <f>NOT(ISNA(MATCH($P420,Packages!$A:$A,0)))</f>
        <v>1</v>
      </c>
    </row>
    <row r="421" spans="1:21" hidden="1">
      <c r="A421" s="6" t="s">
        <v>47</v>
      </c>
      <c r="B421" s="6" t="s">
        <v>48</v>
      </c>
      <c r="C421" s="33">
        <v>2200</v>
      </c>
      <c r="D421" s="34">
        <v>10</v>
      </c>
      <c r="E421" s="6" t="s">
        <v>95</v>
      </c>
      <c r="F421" s="6" t="s">
        <v>59</v>
      </c>
      <c r="G421" s="6"/>
      <c r="H421" s="7" t="s">
        <v>141</v>
      </c>
      <c r="I421" s="7"/>
      <c r="J421" s="7" t="str">
        <f t="shared" si="76"/>
        <v>JAMICON</v>
      </c>
      <c r="K421" s="7" t="str">
        <f t="shared" si="77"/>
        <v>2200µF 10v</v>
      </c>
      <c r="L421" s="7" t="str">
        <f t="shared" si="85"/>
        <v>SK</v>
      </c>
      <c r="M421" s="31">
        <f t="shared" si="78"/>
        <v>12.5</v>
      </c>
      <c r="N421" s="31">
        <f t="shared" si="79"/>
        <v>20</v>
      </c>
      <c r="O421" s="8" t="str">
        <f t="shared" si="80"/>
        <v>Jamicon-SK</v>
      </c>
      <c r="P421" s="12" t="str">
        <f t="shared" si="74"/>
        <v>Jamicon R-13.0x20.0</v>
      </c>
      <c r="Q421" s="12" t="str">
        <f t="shared" si="81"/>
        <v>2200µF</v>
      </c>
      <c r="R421" s="12" t="str">
        <f t="shared" si="82"/>
        <v>10v</v>
      </c>
      <c r="S421" s="8" t="str">
        <f t="shared" si="75"/>
        <v>2200µF 10v - R12.5-20.0 Jamicon (SK)</v>
      </c>
      <c r="T421" s="8">
        <f t="shared" si="83"/>
        <v>1</v>
      </c>
      <c r="U421" s="8" t="b">
        <f>NOT(ISNA(MATCH($P421,Packages!$A:$A,0)))</f>
        <v>1</v>
      </c>
    </row>
    <row r="422" spans="1:21" hidden="1">
      <c r="A422" s="6" t="s">
        <v>47</v>
      </c>
      <c r="B422" s="6" t="s">
        <v>48</v>
      </c>
      <c r="C422" s="33">
        <v>3300</v>
      </c>
      <c r="D422" s="34">
        <v>10</v>
      </c>
      <c r="E422" s="6" t="s">
        <v>95</v>
      </c>
      <c r="F422" s="6" t="s">
        <v>59</v>
      </c>
      <c r="G422" s="6"/>
      <c r="H422" s="7" t="s">
        <v>141</v>
      </c>
      <c r="I422" s="7"/>
      <c r="J422" s="7" t="str">
        <f t="shared" si="76"/>
        <v>JAMICON</v>
      </c>
      <c r="K422" s="7" t="str">
        <f t="shared" si="77"/>
        <v>3300µF 10v</v>
      </c>
      <c r="L422" s="7" t="str">
        <f t="shared" si="85"/>
        <v>SK</v>
      </c>
      <c r="M422" s="31">
        <f t="shared" si="78"/>
        <v>12.5</v>
      </c>
      <c r="N422" s="31">
        <f t="shared" si="79"/>
        <v>20</v>
      </c>
      <c r="O422" s="8" t="str">
        <f t="shared" si="80"/>
        <v>Jamicon-SK</v>
      </c>
      <c r="P422" s="12" t="str">
        <f t="shared" si="74"/>
        <v>Jamicon R-13.0x20.0</v>
      </c>
      <c r="Q422" s="12" t="str">
        <f t="shared" si="81"/>
        <v>3300µF</v>
      </c>
      <c r="R422" s="12" t="str">
        <f t="shared" si="82"/>
        <v>10v</v>
      </c>
      <c r="S422" s="8" t="str">
        <f t="shared" si="75"/>
        <v>3300µF 10v - R12.5-20.0 Jamicon (SK)</v>
      </c>
      <c r="T422" s="8">
        <f t="shared" si="83"/>
        <v>1</v>
      </c>
      <c r="U422" s="8" t="b">
        <f>NOT(ISNA(MATCH($P422,Packages!$A:$A,0)))</f>
        <v>1</v>
      </c>
    </row>
    <row r="423" spans="1:21" hidden="1">
      <c r="A423" s="6" t="s">
        <v>47</v>
      </c>
      <c r="B423" s="6" t="s">
        <v>48</v>
      </c>
      <c r="C423" s="33">
        <v>3300</v>
      </c>
      <c r="D423" s="34">
        <v>10</v>
      </c>
      <c r="E423" s="6" t="s">
        <v>96</v>
      </c>
      <c r="F423" s="6" t="s">
        <v>59</v>
      </c>
      <c r="G423" s="6"/>
      <c r="H423" s="7" t="s">
        <v>141</v>
      </c>
      <c r="I423" s="7"/>
      <c r="J423" s="7" t="str">
        <f t="shared" si="76"/>
        <v>JAMICON</v>
      </c>
      <c r="K423" s="7" t="str">
        <f t="shared" si="77"/>
        <v>3300µF 10v</v>
      </c>
      <c r="L423" s="7" t="str">
        <f t="shared" si="85"/>
        <v>SK</v>
      </c>
      <c r="M423" s="31">
        <f t="shared" si="78"/>
        <v>12.5</v>
      </c>
      <c r="N423" s="31">
        <f t="shared" si="79"/>
        <v>25</v>
      </c>
      <c r="O423" s="8" t="str">
        <f t="shared" si="80"/>
        <v>Jamicon-SK</v>
      </c>
      <c r="P423" s="12" t="str">
        <f t="shared" si="74"/>
        <v>Jamicon R-13.0x25.0</v>
      </c>
      <c r="Q423" s="12" t="str">
        <f t="shared" si="81"/>
        <v>3300µF</v>
      </c>
      <c r="R423" s="12" t="str">
        <f t="shared" si="82"/>
        <v>10v</v>
      </c>
      <c r="S423" s="8" t="str">
        <f t="shared" si="75"/>
        <v>3300µF 10v - R12.5-25.0 Jamicon (SK)</v>
      </c>
      <c r="T423" s="8">
        <f t="shared" si="83"/>
        <v>1</v>
      </c>
      <c r="U423" s="8" t="b">
        <f>NOT(ISNA(MATCH($P423,Packages!$A:$A,0)))</f>
        <v>1</v>
      </c>
    </row>
    <row r="424" spans="1:21" hidden="1">
      <c r="A424" s="6" t="s">
        <v>47</v>
      </c>
      <c r="B424" s="6" t="s">
        <v>48</v>
      </c>
      <c r="C424" s="33">
        <v>4700</v>
      </c>
      <c r="D424" s="34">
        <v>10</v>
      </c>
      <c r="E424" s="6" t="s">
        <v>96</v>
      </c>
      <c r="F424" s="6" t="s">
        <v>59</v>
      </c>
      <c r="G424" s="6"/>
      <c r="H424" s="7" t="s">
        <v>141</v>
      </c>
      <c r="I424" s="7"/>
      <c r="J424" s="7" t="str">
        <f t="shared" si="76"/>
        <v>JAMICON</v>
      </c>
      <c r="K424" s="7" t="str">
        <f t="shared" si="77"/>
        <v>4700µF 10v</v>
      </c>
      <c r="L424" s="7" t="str">
        <f t="shared" si="85"/>
        <v>SK</v>
      </c>
      <c r="M424" s="31">
        <f t="shared" si="78"/>
        <v>12.5</v>
      </c>
      <c r="N424" s="31">
        <f t="shared" si="79"/>
        <v>25</v>
      </c>
      <c r="O424" s="8" t="str">
        <f t="shared" si="80"/>
        <v>Jamicon-SK</v>
      </c>
      <c r="P424" s="12" t="str">
        <f t="shared" si="74"/>
        <v>Jamicon R-13.0x25.0</v>
      </c>
      <c r="Q424" s="12" t="str">
        <f t="shared" si="81"/>
        <v>4700µF</v>
      </c>
      <c r="R424" s="12" t="str">
        <f t="shared" si="82"/>
        <v>10v</v>
      </c>
      <c r="S424" s="8" t="str">
        <f t="shared" si="75"/>
        <v>4700µF 10v - R12.5-25.0 Jamicon (SK)</v>
      </c>
      <c r="T424" s="8">
        <f t="shared" si="83"/>
        <v>1</v>
      </c>
      <c r="U424" s="8" t="b">
        <f>NOT(ISNA(MATCH($P424,Packages!$A:$A,0)))</f>
        <v>1</v>
      </c>
    </row>
    <row r="425" spans="1:21" hidden="1">
      <c r="A425" s="6" t="s">
        <v>47</v>
      </c>
      <c r="B425" s="6" t="s">
        <v>48</v>
      </c>
      <c r="C425" s="33">
        <v>4700</v>
      </c>
      <c r="D425" s="34">
        <v>10</v>
      </c>
      <c r="E425" s="6" t="s">
        <v>97</v>
      </c>
      <c r="F425" s="6" t="s">
        <v>59</v>
      </c>
      <c r="G425" s="6"/>
      <c r="H425" s="7" t="s">
        <v>141</v>
      </c>
      <c r="I425" s="7"/>
      <c r="J425" s="7" t="str">
        <f t="shared" si="76"/>
        <v>JAMICON</v>
      </c>
      <c r="K425" s="7" t="str">
        <f t="shared" si="77"/>
        <v>4700µF 10v</v>
      </c>
      <c r="L425" s="7" t="str">
        <f t="shared" si="85"/>
        <v>SK</v>
      </c>
      <c r="M425" s="31">
        <f t="shared" si="78"/>
        <v>16</v>
      </c>
      <c r="N425" s="31">
        <f t="shared" si="79"/>
        <v>25</v>
      </c>
      <c r="O425" s="8" t="str">
        <f t="shared" si="80"/>
        <v>Jamicon-SK</v>
      </c>
      <c r="P425" s="12" t="str">
        <f t="shared" si="74"/>
        <v>Jamicon R-16.0x25.0</v>
      </c>
      <c r="Q425" s="12" t="str">
        <f t="shared" si="81"/>
        <v>4700µF</v>
      </c>
      <c r="R425" s="12" t="str">
        <f t="shared" si="82"/>
        <v>10v</v>
      </c>
      <c r="S425" s="8" t="str">
        <f t="shared" si="75"/>
        <v>4700µF 10v - R16.0-25.0 Jamicon (SK)</v>
      </c>
      <c r="T425" s="8">
        <f t="shared" si="83"/>
        <v>1</v>
      </c>
      <c r="U425" s="8" t="b">
        <f>NOT(ISNA(MATCH($P425,Packages!$A:$A,0)))</f>
        <v>1</v>
      </c>
    </row>
    <row r="426" spans="1:21" hidden="1">
      <c r="A426" s="6" t="s">
        <v>47</v>
      </c>
      <c r="B426" s="6" t="s">
        <v>48</v>
      </c>
      <c r="C426" s="33">
        <v>6800</v>
      </c>
      <c r="D426" s="34">
        <v>10</v>
      </c>
      <c r="E426" s="6" t="s">
        <v>97</v>
      </c>
      <c r="F426" s="6" t="s">
        <v>59</v>
      </c>
      <c r="G426" s="6"/>
      <c r="H426" s="7" t="s">
        <v>141</v>
      </c>
      <c r="I426" s="7"/>
      <c r="J426" s="7" t="str">
        <f t="shared" si="76"/>
        <v>JAMICON</v>
      </c>
      <c r="K426" s="7" t="str">
        <f t="shared" si="77"/>
        <v>6800µF 10v</v>
      </c>
      <c r="L426" s="7" t="str">
        <f t="shared" si="85"/>
        <v>SK</v>
      </c>
      <c r="M426" s="31">
        <f t="shared" si="78"/>
        <v>16</v>
      </c>
      <c r="N426" s="31">
        <f t="shared" si="79"/>
        <v>25</v>
      </c>
      <c r="O426" s="8" t="str">
        <f t="shared" si="80"/>
        <v>Jamicon-SK</v>
      </c>
      <c r="P426" s="12" t="str">
        <f t="shared" si="74"/>
        <v>Jamicon R-16.0x25.0</v>
      </c>
      <c r="Q426" s="12" t="str">
        <f t="shared" si="81"/>
        <v>6800µF</v>
      </c>
      <c r="R426" s="12" t="str">
        <f t="shared" si="82"/>
        <v>10v</v>
      </c>
      <c r="S426" s="8" t="str">
        <f t="shared" si="75"/>
        <v>6800µF 10v - R16.0-25.0 Jamicon (SK)</v>
      </c>
      <c r="T426" s="8">
        <f t="shared" si="83"/>
        <v>1</v>
      </c>
      <c r="U426" s="8" t="b">
        <f>NOT(ISNA(MATCH($P426,Packages!$A:$A,0)))</f>
        <v>1</v>
      </c>
    </row>
    <row r="427" spans="1:21" hidden="1">
      <c r="A427" s="6" t="s">
        <v>47</v>
      </c>
      <c r="B427" s="6" t="s">
        <v>48</v>
      </c>
      <c r="C427" s="33">
        <v>6800</v>
      </c>
      <c r="D427" s="34">
        <v>10</v>
      </c>
      <c r="E427" s="6" t="s">
        <v>98</v>
      </c>
      <c r="F427" s="6" t="s">
        <v>59</v>
      </c>
      <c r="G427" s="6"/>
      <c r="H427" s="7" t="s">
        <v>141</v>
      </c>
      <c r="I427" s="7"/>
      <c r="J427" s="7" t="str">
        <f t="shared" si="76"/>
        <v>JAMICON</v>
      </c>
      <c r="K427" s="7" t="str">
        <f t="shared" si="77"/>
        <v>6800µF 10v</v>
      </c>
      <c r="L427" s="7" t="str">
        <f t="shared" si="85"/>
        <v>SK</v>
      </c>
      <c r="M427" s="31">
        <f t="shared" si="78"/>
        <v>16</v>
      </c>
      <c r="N427" s="31">
        <f t="shared" si="79"/>
        <v>31.5</v>
      </c>
      <c r="O427" s="8" t="str">
        <f t="shared" si="80"/>
        <v>Jamicon-SK</v>
      </c>
      <c r="P427" s="12" t="str">
        <f t="shared" si="74"/>
        <v>Jamicon R-16.0x32.0</v>
      </c>
      <c r="Q427" s="12" t="str">
        <f t="shared" si="81"/>
        <v>6800µF</v>
      </c>
      <c r="R427" s="12" t="str">
        <f t="shared" si="82"/>
        <v>10v</v>
      </c>
      <c r="S427" s="8" t="str">
        <f t="shared" si="75"/>
        <v>6800µF 10v - R16.0-31.5 Jamicon (SK)</v>
      </c>
      <c r="T427" s="8">
        <f t="shared" si="83"/>
        <v>1</v>
      </c>
      <c r="U427" s="8" t="b">
        <f>NOT(ISNA(MATCH($P427,Packages!$A:$A,0)))</f>
        <v>1</v>
      </c>
    </row>
    <row r="428" spans="1:21" hidden="1">
      <c r="A428" s="6" t="s">
        <v>47</v>
      </c>
      <c r="B428" s="6" t="s">
        <v>48</v>
      </c>
      <c r="C428" s="33">
        <v>8200</v>
      </c>
      <c r="D428" s="34">
        <v>10</v>
      </c>
      <c r="E428" s="6" t="s">
        <v>98</v>
      </c>
      <c r="F428" s="6" t="s">
        <v>59</v>
      </c>
      <c r="G428" s="6"/>
      <c r="H428" s="7" t="s">
        <v>141</v>
      </c>
      <c r="I428" s="7"/>
      <c r="J428" s="7" t="str">
        <f t="shared" si="76"/>
        <v>JAMICON</v>
      </c>
      <c r="K428" s="7" t="str">
        <f t="shared" si="77"/>
        <v>8200µF 10v</v>
      </c>
      <c r="L428" s="7" t="str">
        <f t="shared" si="85"/>
        <v>SK</v>
      </c>
      <c r="M428" s="31">
        <f t="shared" si="78"/>
        <v>16</v>
      </c>
      <c r="N428" s="31">
        <f t="shared" si="79"/>
        <v>31.5</v>
      </c>
      <c r="O428" s="8" t="str">
        <f t="shared" si="80"/>
        <v>Jamicon-SK</v>
      </c>
      <c r="P428" s="12" t="str">
        <f t="shared" si="74"/>
        <v>Jamicon R-16.0x32.0</v>
      </c>
      <c r="Q428" s="12" t="str">
        <f t="shared" si="81"/>
        <v>8200µF</v>
      </c>
      <c r="R428" s="12" t="str">
        <f t="shared" si="82"/>
        <v>10v</v>
      </c>
      <c r="S428" s="8" t="str">
        <f t="shared" si="75"/>
        <v>8200µF 10v - R16.0-31.5 Jamicon (SK)</v>
      </c>
      <c r="T428" s="8">
        <f t="shared" si="83"/>
        <v>1</v>
      </c>
      <c r="U428" s="8" t="b">
        <f>NOT(ISNA(MATCH($P428,Packages!$A:$A,0)))</f>
        <v>1</v>
      </c>
    </row>
    <row r="429" spans="1:21" hidden="1">
      <c r="A429" s="6" t="s">
        <v>47</v>
      </c>
      <c r="B429" s="6" t="s">
        <v>48</v>
      </c>
      <c r="C429" s="33">
        <v>8200</v>
      </c>
      <c r="D429" s="34">
        <v>10</v>
      </c>
      <c r="E429" s="6" t="s">
        <v>100</v>
      </c>
      <c r="F429" s="6" t="s">
        <v>59</v>
      </c>
      <c r="G429" s="6"/>
      <c r="H429" s="7" t="s">
        <v>141</v>
      </c>
      <c r="I429" s="7"/>
      <c r="J429" s="7" t="str">
        <f t="shared" si="76"/>
        <v>JAMICON</v>
      </c>
      <c r="K429" s="7" t="str">
        <f t="shared" si="77"/>
        <v>8200µF 10v</v>
      </c>
      <c r="L429" s="7" t="str">
        <f t="shared" si="85"/>
        <v>SK</v>
      </c>
      <c r="M429" s="31">
        <f t="shared" si="78"/>
        <v>18</v>
      </c>
      <c r="N429" s="31">
        <f t="shared" si="79"/>
        <v>35.5</v>
      </c>
      <c r="O429" s="8" t="str">
        <f t="shared" si="80"/>
        <v>Jamicon-SK</v>
      </c>
      <c r="P429" s="12" t="str">
        <f t="shared" si="74"/>
        <v>Jamicon R-18.0x36.0</v>
      </c>
      <c r="Q429" s="12" t="str">
        <f t="shared" si="81"/>
        <v>8200µF</v>
      </c>
      <c r="R429" s="12" t="str">
        <f t="shared" si="82"/>
        <v>10v</v>
      </c>
      <c r="S429" s="8" t="str">
        <f t="shared" si="75"/>
        <v>8200µF 10v - R18.0-35.5 Jamicon (SK)</v>
      </c>
      <c r="T429" s="8">
        <f t="shared" si="83"/>
        <v>1</v>
      </c>
      <c r="U429" s="8" t="b">
        <f>NOT(ISNA(MATCH($P429,Packages!$A:$A,0)))</f>
        <v>1</v>
      </c>
    </row>
    <row r="430" spans="1:21" hidden="1">
      <c r="A430" s="6" t="s">
        <v>47</v>
      </c>
      <c r="B430" s="6" t="s">
        <v>48</v>
      </c>
      <c r="C430" s="33">
        <v>10000</v>
      </c>
      <c r="D430" s="34">
        <v>10</v>
      </c>
      <c r="E430" s="6" t="s">
        <v>99</v>
      </c>
      <c r="F430" s="6" t="s">
        <v>59</v>
      </c>
      <c r="G430" s="6"/>
      <c r="H430" s="7" t="s">
        <v>141</v>
      </c>
      <c r="I430" s="7"/>
      <c r="J430" s="7" t="str">
        <f t="shared" si="76"/>
        <v>JAMICON</v>
      </c>
      <c r="K430" s="7" t="str">
        <f t="shared" si="77"/>
        <v>10000µF 10v</v>
      </c>
      <c r="L430" s="7" t="str">
        <f t="shared" si="85"/>
        <v>SK</v>
      </c>
      <c r="M430" s="31">
        <f t="shared" si="78"/>
        <v>16</v>
      </c>
      <c r="N430" s="31">
        <f t="shared" si="79"/>
        <v>35.5</v>
      </c>
      <c r="O430" s="8" t="str">
        <f t="shared" si="80"/>
        <v>Jamicon-SK</v>
      </c>
      <c r="P430" s="12" t="str">
        <f t="shared" si="74"/>
        <v>Jamicon R-16.0x36.0</v>
      </c>
      <c r="Q430" s="12" t="str">
        <f t="shared" si="81"/>
        <v>10000µF</v>
      </c>
      <c r="R430" s="12" t="str">
        <f t="shared" si="82"/>
        <v>10v</v>
      </c>
      <c r="S430" s="8" t="str">
        <f t="shared" si="75"/>
        <v>10000µF 10v - R16.0-35.5 Jamicon (SK)</v>
      </c>
      <c r="T430" s="8">
        <f t="shared" si="83"/>
        <v>1</v>
      </c>
      <c r="U430" s="8" t="b">
        <f>NOT(ISNA(MATCH($P430,Packages!$A:$A,0)))</f>
        <v>1</v>
      </c>
    </row>
    <row r="431" spans="1:21" hidden="1">
      <c r="A431" s="6" t="s">
        <v>47</v>
      </c>
      <c r="B431" s="6" t="s">
        <v>48</v>
      </c>
      <c r="C431" s="33">
        <v>10000</v>
      </c>
      <c r="D431" s="34">
        <v>10</v>
      </c>
      <c r="E431" s="6" t="s">
        <v>100</v>
      </c>
      <c r="F431" s="6" t="s">
        <v>59</v>
      </c>
      <c r="G431" s="6"/>
      <c r="H431" s="7" t="s">
        <v>141</v>
      </c>
      <c r="I431" s="7"/>
      <c r="J431" s="7" t="str">
        <f t="shared" si="76"/>
        <v>JAMICON</v>
      </c>
      <c r="K431" s="7" t="str">
        <f t="shared" si="77"/>
        <v>10000µF 10v</v>
      </c>
      <c r="L431" s="7" t="str">
        <f t="shared" si="85"/>
        <v>SK</v>
      </c>
      <c r="M431" s="31">
        <f t="shared" si="78"/>
        <v>18</v>
      </c>
      <c r="N431" s="31">
        <f t="shared" si="79"/>
        <v>35.5</v>
      </c>
      <c r="O431" s="8" t="str">
        <f t="shared" si="80"/>
        <v>Jamicon-SK</v>
      </c>
      <c r="P431" s="12" t="str">
        <f t="shared" si="74"/>
        <v>Jamicon R-18.0x36.0</v>
      </c>
      <c r="Q431" s="12" t="str">
        <f t="shared" si="81"/>
        <v>10000µF</v>
      </c>
      <c r="R431" s="12" t="str">
        <f t="shared" si="82"/>
        <v>10v</v>
      </c>
      <c r="S431" s="8" t="str">
        <f t="shared" si="75"/>
        <v>10000µF 10v - R18.0-35.5 Jamicon (SK)</v>
      </c>
      <c r="T431" s="8">
        <f t="shared" si="83"/>
        <v>1</v>
      </c>
      <c r="U431" s="8" t="b">
        <f>NOT(ISNA(MATCH($P431,Packages!$A:$A,0)))</f>
        <v>1</v>
      </c>
    </row>
    <row r="432" spans="1:21" hidden="1">
      <c r="A432" s="6" t="s">
        <v>47</v>
      </c>
      <c r="B432" s="6" t="s">
        <v>48</v>
      </c>
      <c r="C432" s="33">
        <v>15000</v>
      </c>
      <c r="D432" s="34">
        <v>10</v>
      </c>
      <c r="E432" s="6" t="s">
        <v>100</v>
      </c>
      <c r="F432" s="6" t="s">
        <v>59</v>
      </c>
      <c r="G432" s="6"/>
      <c r="H432" s="7" t="s">
        <v>141</v>
      </c>
      <c r="I432" s="7"/>
      <c r="J432" s="7" t="str">
        <f t="shared" si="76"/>
        <v>JAMICON</v>
      </c>
      <c r="K432" s="7" t="str">
        <f t="shared" si="77"/>
        <v>15000µF 10v</v>
      </c>
      <c r="L432" s="7" t="str">
        <f t="shared" si="85"/>
        <v>SK</v>
      </c>
      <c r="M432" s="31">
        <f t="shared" si="78"/>
        <v>18</v>
      </c>
      <c r="N432" s="31">
        <f t="shared" si="79"/>
        <v>35.5</v>
      </c>
      <c r="O432" s="8" t="str">
        <f t="shared" si="80"/>
        <v>Jamicon-SK</v>
      </c>
      <c r="P432" s="12" t="str">
        <f t="shared" si="74"/>
        <v>Jamicon R-18.0x36.0</v>
      </c>
      <c r="Q432" s="12" t="str">
        <f t="shared" si="81"/>
        <v>15000µF</v>
      </c>
      <c r="R432" s="12" t="str">
        <f t="shared" si="82"/>
        <v>10v</v>
      </c>
      <c r="S432" s="8" t="str">
        <f t="shared" si="75"/>
        <v>15000µF 10v - R18.0-35.5 Jamicon (SK)</v>
      </c>
      <c r="T432" s="8">
        <f t="shared" si="83"/>
        <v>1</v>
      </c>
      <c r="U432" s="8" t="b">
        <f>NOT(ISNA(MATCH($P432,Packages!$A:$A,0)))</f>
        <v>1</v>
      </c>
    </row>
    <row r="433" spans="1:21" hidden="1">
      <c r="A433" s="6" t="s">
        <v>47</v>
      </c>
      <c r="B433" s="6" t="s">
        <v>48</v>
      </c>
      <c r="C433" s="33">
        <v>15000</v>
      </c>
      <c r="D433" s="34">
        <v>10</v>
      </c>
      <c r="E433" s="6" t="s">
        <v>101</v>
      </c>
      <c r="F433" s="6" t="s">
        <v>59</v>
      </c>
      <c r="G433" s="6"/>
      <c r="H433" s="7" t="s">
        <v>141</v>
      </c>
      <c r="I433" s="7"/>
      <c r="J433" s="7" t="str">
        <f t="shared" si="76"/>
        <v>JAMICON</v>
      </c>
      <c r="K433" s="7" t="str">
        <f t="shared" si="77"/>
        <v>15000µF 10v</v>
      </c>
      <c r="L433" s="7" t="str">
        <f t="shared" si="85"/>
        <v>SK</v>
      </c>
      <c r="M433" s="31">
        <f t="shared" si="78"/>
        <v>18</v>
      </c>
      <c r="N433" s="31">
        <f t="shared" si="79"/>
        <v>40</v>
      </c>
      <c r="O433" s="8" t="str">
        <f t="shared" si="80"/>
        <v>Jamicon-SK</v>
      </c>
      <c r="P433" s="12" t="str">
        <f t="shared" si="74"/>
        <v>Jamicon R-18.0x40.0</v>
      </c>
      <c r="Q433" s="12" t="str">
        <f t="shared" si="81"/>
        <v>15000µF</v>
      </c>
      <c r="R433" s="12" t="str">
        <f t="shared" si="82"/>
        <v>10v</v>
      </c>
      <c r="S433" s="8" t="str">
        <f t="shared" si="75"/>
        <v>15000µF 10v - R18.0-40.0 Jamicon (SK)</v>
      </c>
      <c r="T433" s="8">
        <f t="shared" si="83"/>
        <v>1</v>
      </c>
      <c r="U433" s="8" t="b">
        <f>NOT(ISNA(MATCH($P433,Packages!$A:$A,0)))</f>
        <v>1</v>
      </c>
    </row>
    <row r="434" spans="1:21" hidden="1">
      <c r="A434" s="6" t="s">
        <v>47</v>
      </c>
      <c r="B434" s="6" t="s">
        <v>48</v>
      </c>
      <c r="C434" s="33">
        <v>22000</v>
      </c>
      <c r="D434" s="34">
        <v>10</v>
      </c>
      <c r="E434" s="6" t="s">
        <v>106</v>
      </c>
      <c r="F434" s="6" t="s">
        <v>59</v>
      </c>
      <c r="G434" s="6"/>
      <c r="H434" s="7" t="s">
        <v>141</v>
      </c>
      <c r="I434" s="7"/>
      <c r="J434" s="7" t="str">
        <f t="shared" si="76"/>
        <v>JAMICON</v>
      </c>
      <c r="K434" s="7" t="str">
        <f t="shared" si="77"/>
        <v>22000µF 10v</v>
      </c>
      <c r="L434" s="7" t="str">
        <f t="shared" si="85"/>
        <v>SK</v>
      </c>
      <c r="M434" s="31">
        <f t="shared" si="78"/>
        <v>22</v>
      </c>
      <c r="N434" s="31">
        <f t="shared" si="79"/>
        <v>50</v>
      </c>
      <c r="O434" s="8" t="str">
        <f t="shared" si="80"/>
        <v>Jamicon-SK</v>
      </c>
      <c r="P434" s="12" t="str">
        <f t="shared" si="74"/>
        <v>Jamicon R-22.0x50.0</v>
      </c>
      <c r="Q434" s="12" t="str">
        <f t="shared" si="81"/>
        <v>22000µF</v>
      </c>
      <c r="R434" s="12" t="str">
        <f t="shared" si="82"/>
        <v>10v</v>
      </c>
      <c r="S434" s="8" t="str">
        <f t="shared" si="75"/>
        <v>22000µF 10v - R22.0-50.0 Jamicon (SK)</v>
      </c>
      <c r="T434" s="8">
        <f t="shared" si="83"/>
        <v>1</v>
      </c>
      <c r="U434" s="8" t="b">
        <f>NOT(ISNA(MATCH($P434,Packages!$A:$A,0)))</f>
        <v>1</v>
      </c>
    </row>
    <row r="435" spans="1:21" hidden="1">
      <c r="A435" s="6" t="s">
        <v>47</v>
      </c>
      <c r="B435" s="6" t="s">
        <v>48</v>
      </c>
      <c r="C435" s="33">
        <v>47</v>
      </c>
      <c r="D435" s="34">
        <v>16</v>
      </c>
      <c r="E435" s="6" t="s">
        <v>68</v>
      </c>
      <c r="F435" s="6" t="s">
        <v>59</v>
      </c>
      <c r="G435" s="6"/>
      <c r="H435" s="7" t="s">
        <v>141</v>
      </c>
      <c r="I435" s="7"/>
      <c r="J435" s="7" t="str">
        <f t="shared" si="76"/>
        <v>JAMICON</v>
      </c>
      <c r="K435" s="7" t="str">
        <f t="shared" si="77"/>
        <v>47µF 16v</v>
      </c>
      <c r="L435" s="7" t="str">
        <f t="shared" si="85"/>
        <v>SK</v>
      </c>
      <c r="M435" s="31">
        <f t="shared" si="78"/>
        <v>5</v>
      </c>
      <c r="N435" s="31">
        <f t="shared" si="79"/>
        <v>11</v>
      </c>
      <c r="O435" s="8" t="str">
        <f t="shared" si="80"/>
        <v>Jamicon-SK</v>
      </c>
      <c r="P435" s="12" t="str">
        <f t="shared" si="74"/>
        <v>Jamicon R-05.0x11.0</v>
      </c>
      <c r="Q435" s="12" t="str">
        <f t="shared" si="81"/>
        <v>47µF</v>
      </c>
      <c r="R435" s="12" t="str">
        <f t="shared" si="82"/>
        <v>16v</v>
      </c>
      <c r="S435" s="8" t="str">
        <f t="shared" si="75"/>
        <v>47µF 16v - R05.0-11.0 Jamicon (SK)</v>
      </c>
      <c r="T435" s="8">
        <f t="shared" si="83"/>
        <v>1</v>
      </c>
      <c r="U435" s="8" t="b">
        <f>NOT(ISNA(MATCH($P435,Packages!$A:$A,0)))</f>
        <v>1</v>
      </c>
    </row>
    <row r="436" spans="1:21" hidden="1">
      <c r="A436" s="6" t="s">
        <v>47</v>
      </c>
      <c r="B436" s="6" t="s">
        <v>48</v>
      </c>
      <c r="C436" s="33">
        <v>100</v>
      </c>
      <c r="D436" s="34">
        <v>16</v>
      </c>
      <c r="E436" s="6" t="s">
        <v>68</v>
      </c>
      <c r="F436" s="6" t="s">
        <v>59</v>
      </c>
      <c r="G436" s="6" t="s">
        <v>60</v>
      </c>
      <c r="H436" s="7" t="s">
        <v>141</v>
      </c>
      <c r="I436" s="7"/>
      <c r="J436" s="7" t="str">
        <f t="shared" si="76"/>
        <v>JAMICON</v>
      </c>
      <c r="K436" s="7" t="str">
        <f t="shared" si="77"/>
        <v>100µF 16v</v>
      </c>
      <c r="L436" s="7" t="str">
        <f t="shared" si="85"/>
        <v>SK</v>
      </c>
      <c r="M436" s="31">
        <f t="shared" si="78"/>
        <v>5</v>
      </c>
      <c r="N436" s="31">
        <f t="shared" si="79"/>
        <v>11</v>
      </c>
      <c r="O436" s="8" t="str">
        <f t="shared" si="80"/>
        <v>Jamicon-SK</v>
      </c>
      <c r="P436" s="12" t="str">
        <f t="shared" si="74"/>
        <v>Jamicon R-05.0x11.0</v>
      </c>
      <c r="Q436" s="12" t="str">
        <f t="shared" si="81"/>
        <v>100µF</v>
      </c>
      <c r="R436" s="12" t="str">
        <f t="shared" si="82"/>
        <v>16v</v>
      </c>
      <c r="S436" s="8" t="str">
        <f t="shared" si="75"/>
        <v>100µF 16v - R05.0-11.0 Jamicon (SK) Taping</v>
      </c>
      <c r="T436" s="8">
        <f t="shared" si="83"/>
        <v>1</v>
      </c>
      <c r="U436" s="8" t="b">
        <f>NOT(ISNA(MATCH($P436,Packages!$A:$A,0)))</f>
        <v>1</v>
      </c>
    </row>
    <row r="437" spans="1:21" hidden="1">
      <c r="A437" s="6" t="s">
        <v>47</v>
      </c>
      <c r="B437" s="6" t="s">
        <v>48</v>
      </c>
      <c r="C437" s="33">
        <v>100</v>
      </c>
      <c r="D437" s="34">
        <v>16</v>
      </c>
      <c r="E437" s="6" t="s">
        <v>69</v>
      </c>
      <c r="F437" s="6" t="s">
        <v>59</v>
      </c>
      <c r="G437" s="6"/>
      <c r="H437" s="7" t="s">
        <v>141</v>
      </c>
      <c r="I437" s="7"/>
      <c r="J437" s="7" t="str">
        <f t="shared" si="76"/>
        <v>JAMICON</v>
      </c>
      <c r="K437" s="7" t="str">
        <f t="shared" si="77"/>
        <v>100µF 16v</v>
      </c>
      <c r="L437" s="7" t="str">
        <f t="shared" si="85"/>
        <v>SK</v>
      </c>
      <c r="M437" s="31">
        <f t="shared" si="78"/>
        <v>6.3</v>
      </c>
      <c r="N437" s="31">
        <f t="shared" si="79"/>
        <v>11</v>
      </c>
      <c r="O437" s="8" t="str">
        <f t="shared" si="80"/>
        <v>Jamicon-SK</v>
      </c>
      <c r="P437" s="12" t="str">
        <f t="shared" si="74"/>
        <v>Jamicon R-06.0x11.0</v>
      </c>
      <c r="Q437" s="12" t="str">
        <f t="shared" si="81"/>
        <v>100µF</v>
      </c>
      <c r="R437" s="12" t="str">
        <f t="shared" si="82"/>
        <v>16v</v>
      </c>
      <c r="S437" s="8" t="str">
        <f t="shared" si="75"/>
        <v>100µF 16v - R06.3-11.0 Jamicon (SK)</v>
      </c>
      <c r="T437" s="8">
        <f t="shared" si="83"/>
        <v>1</v>
      </c>
      <c r="U437" s="8" t="b">
        <f>NOT(ISNA(MATCH($P437,Packages!$A:$A,0)))</f>
        <v>1</v>
      </c>
    </row>
    <row r="438" spans="1:21" hidden="1">
      <c r="A438" s="6" t="s">
        <v>47</v>
      </c>
      <c r="B438" s="6" t="s">
        <v>48</v>
      </c>
      <c r="C438" s="33">
        <v>220</v>
      </c>
      <c r="D438" s="34">
        <v>16</v>
      </c>
      <c r="E438" s="6" t="s">
        <v>69</v>
      </c>
      <c r="F438" s="6" t="s">
        <v>59</v>
      </c>
      <c r="G438" s="6"/>
      <c r="H438" s="7" t="s">
        <v>141</v>
      </c>
      <c r="I438" s="7"/>
      <c r="J438" s="7" t="str">
        <f t="shared" si="76"/>
        <v>JAMICON</v>
      </c>
      <c r="K438" s="7" t="str">
        <f t="shared" si="77"/>
        <v>220µF 16v</v>
      </c>
      <c r="L438" s="7" t="str">
        <f t="shared" si="85"/>
        <v>SK</v>
      </c>
      <c r="M438" s="31">
        <f t="shared" si="78"/>
        <v>6.3</v>
      </c>
      <c r="N438" s="31">
        <f t="shared" si="79"/>
        <v>11</v>
      </c>
      <c r="O438" s="8" t="str">
        <f t="shared" si="80"/>
        <v>Jamicon-SK</v>
      </c>
      <c r="P438" s="12" t="str">
        <f t="shared" si="74"/>
        <v>Jamicon R-06.0x11.0</v>
      </c>
      <c r="Q438" s="12" t="str">
        <f t="shared" si="81"/>
        <v>220µF</v>
      </c>
      <c r="R438" s="12" t="str">
        <f t="shared" si="82"/>
        <v>16v</v>
      </c>
      <c r="S438" s="8" t="str">
        <f t="shared" si="75"/>
        <v>220µF 16v - R06.3-11.0 Jamicon (SK)</v>
      </c>
      <c r="T438" s="8">
        <f t="shared" si="83"/>
        <v>1</v>
      </c>
      <c r="U438" s="8" t="b">
        <f>NOT(ISNA(MATCH($P438,Packages!$A:$A,0)))</f>
        <v>1</v>
      </c>
    </row>
    <row r="439" spans="1:21" hidden="1">
      <c r="A439" s="6" t="s">
        <v>47</v>
      </c>
      <c r="B439" s="6" t="s">
        <v>48</v>
      </c>
      <c r="C439" s="33">
        <v>220</v>
      </c>
      <c r="D439" s="34">
        <v>16</v>
      </c>
      <c r="E439" s="6" t="s">
        <v>108</v>
      </c>
      <c r="F439" s="6" t="s">
        <v>59</v>
      </c>
      <c r="G439" s="6"/>
      <c r="H439" s="7" t="s">
        <v>141</v>
      </c>
      <c r="I439" s="7"/>
      <c r="J439" s="7" t="str">
        <f t="shared" si="76"/>
        <v>JAMICON</v>
      </c>
      <c r="K439" s="7" t="str">
        <f t="shared" si="77"/>
        <v>220µF 16v</v>
      </c>
      <c r="L439" s="7" t="str">
        <f t="shared" si="85"/>
        <v>SK</v>
      </c>
      <c r="M439" s="31">
        <f t="shared" si="78"/>
        <v>8</v>
      </c>
      <c r="N439" s="31">
        <f t="shared" si="79"/>
        <v>11.5</v>
      </c>
      <c r="O439" s="8" t="str">
        <f t="shared" si="80"/>
        <v>Jamicon-SK</v>
      </c>
      <c r="P439" s="12" t="str">
        <f t="shared" si="74"/>
        <v>Jamicon R-08.0x12.0</v>
      </c>
      <c r="Q439" s="12" t="str">
        <f t="shared" si="81"/>
        <v>220µF</v>
      </c>
      <c r="R439" s="12" t="str">
        <f t="shared" si="82"/>
        <v>16v</v>
      </c>
      <c r="S439" s="8" t="str">
        <f t="shared" si="75"/>
        <v>220µF 16v - R08.0-11.5 Jamicon (SK)</v>
      </c>
      <c r="T439" s="8">
        <f t="shared" si="83"/>
        <v>1</v>
      </c>
      <c r="U439" s="8" t="b">
        <f>NOT(ISNA(MATCH($P439,Packages!$A:$A,0)))</f>
        <v>1</v>
      </c>
    </row>
    <row r="440" spans="1:21" hidden="1">
      <c r="A440" s="6" t="s">
        <v>47</v>
      </c>
      <c r="B440" s="6" t="s">
        <v>48</v>
      </c>
      <c r="C440" s="33">
        <v>330</v>
      </c>
      <c r="D440" s="34">
        <v>16</v>
      </c>
      <c r="E440" s="6" t="s">
        <v>108</v>
      </c>
      <c r="F440" s="6" t="s">
        <v>59</v>
      </c>
      <c r="G440" s="6"/>
      <c r="H440" s="7" t="s">
        <v>141</v>
      </c>
      <c r="I440" s="7"/>
      <c r="J440" s="7" t="str">
        <f t="shared" si="76"/>
        <v>JAMICON</v>
      </c>
      <c r="K440" s="7" t="str">
        <f t="shared" si="77"/>
        <v>330µF 16v</v>
      </c>
      <c r="L440" s="7" t="str">
        <f t="shared" si="85"/>
        <v>SK</v>
      </c>
      <c r="M440" s="31">
        <f t="shared" si="78"/>
        <v>8</v>
      </c>
      <c r="N440" s="31">
        <f t="shared" si="79"/>
        <v>11.5</v>
      </c>
      <c r="O440" s="8" t="str">
        <f t="shared" si="80"/>
        <v>Jamicon-SK</v>
      </c>
      <c r="P440" s="12" t="str">
        <f t="shared" si="74"/>
        <v>Jamicon R-08.0x12.0</v>
      </c>
      <c r="Q440" s="12" t="str">
        <f t="shared" si="81"/>
        <v>330µF</v>
      </c>
      <c r="R440" s="12" t="str">
        <f t="shared" si="82"/>
        <v>16v</v>
      </c>
      <c r="S440" s="8" t="str">
        <f t="shared" si="75"/>
        <v>330µF 16v - R08.0-11.5 Jamicon (SK)</v>
      </c>
      <c r="T440" s="8">
        <f t="shared" si="83"/>
        <v>1</v>
      </c>
      <c r="U440" s="8" t="b">
        <f>NOT(ISNA(MATCH($P440,Packages!$A:$A,0)))</f>
        <v>1</v>
      </c>
    </row>
    <row r="441" spans="1:21" hidden="1">
      <c r="A441" s="6" t="s">
        <v>47</v>
      </c>
      <c r="B441" s="6" t="s">
        <v>48</v>
      </c>
      <c r="C441" s="33">
        <v>330</v>
      </c>
      <c r="D441" s="34">
        <v>16</v>
      </c>
      <c r="E441" s="6" t="s">
        <v>92</v>
      </c>
      <c r="F441" s="6" t="s">
        <v>59</v>
      </c>
      <c r="G441" s="6"/>
      <c r="H441" s="7" t="s">
        <v>141</v>
      </c>
      <c r="I441" s="7"/>
      <c r="J441" s="7" t="str">
        <f t="shared" si="76"/>
        <v>JAMICON</v>
      </c>
      <c r="K441" s="7" t="str">
        <f t="shared" si="77"/>
        <v>330µF 16v</v>
      </c>
      <c r="L441" s="7" t="str">
        <f t="shared" si="85"/>
        <v>SK</v>
      </c>
      <c r="M441" s="31">
        <f t="shared" si="78"/>
        <v>10</v>
      </c>
      <c r="N441" s="31">
        <f t="shared" si="79"/>
        <v>12.5</v>
      </c>
      <c r="O441" s="8" t="str">
        <f t="shared" si="80"/>
        <v>Jamicon-SK</v>
      </c>
      <c r="P441" s="12" t="str">
        <f t="shared" si="74"/>
        <v>Jamicon R-10.0x13.0</v>
      </c>
      <c r="Q441" s="12" t="str">
        <f t="shared" si="81"/>
        <v>330µF</v>
      </c>
      <c r="R441" s="12" t="str">
        <f t="shared" si="82"/>
        <v>16v</v>
      </c>
      <c r="S441" s="8" t="str">
        <f t="shared" si="75"/>
        <v>330µF 16v - R10.0-12.5 Jamicon (SK)</v>
      </c>
      <c r="T441" s="8">
        <f t="shared" si="83"/>
        <v>1</v>
      </c>
      <c r="U441" s="8" t="b">
        <f>NOT(ISNA(MATCH($P441,Packages!$A:$A,0)))</f>
        <v>1</v>
      </c>
    </row>
    <row r="442" spans="1:21" hidden="1">
      <c r="A442" s="6" t="s">
        <v>47</v>
      </c>
      <c r="B442" s="6" t="s">
        <v>48</v>
      </c>
      <c r="C442" s="33">
        <v>470</v>
      </c>
      <c r="D442" s="34">
        <v>16</v>
      </c>
      <c r="E442" s="6" t="s">
        <v>108</v>
      </c>
      <c r="F442" s="6" t="s">
        <v>59</v>
      </c>
      <c r="G442" s="6"/>
      <c r="H442" s="7" t="s">
        <v>141</v>
      </c>
      <c r="I442" s="7"/>
      <c r="J442" s="7" t="str">
        <f t="shared" si="76"/>
        <v>JAMICON</v>
      </c>
      <c r="K442" s="7" t="str">
        <f t="shared" si="77"/>
        <v>470µF 16v</v>
      </c>
      <c r="L442" s="7" t="str">
        <f t="shared" si="85"/>
        <v>SK</v>
      </c>
      <c r="M442" s="31">
        <f t="shared" si="78"/>
        <v>8</v>
      </c>
      <c r="N442" s="31">
        <f t="shared" si="79"/>
        <v>11.5</v>
      </c>
      <c r="O442" s="8" t="str">
        <f t="shared" si="80"/>
        <v>Jamicon-SK</v>
      </c>
      <c r="P442" s="12" t="str">
        <f t="shared" si="74"/>
        <v>Jamicon R-08.0x12.0</v>
      </c>
      <c r="Q442" s="12" t="str">
        <f t="shared" si="81"/>
        <v>470µF</v>
      </c>
      <c r="R442" s="12" t="str">
        <f t="shared" si="82"/>
        <v>16v</v>
      </c>
      <c r="S442" s="8" t="str">
        <f t="shared" si="75"/>
        <v>470µF 16v - R08.0-11.5 Jamicon (SK)</v>
      </c>
      <c r="T442" s="8">
        <f t="shared" si="83"/>
        <v>1</v>
      </c>
      <c r="U442" s="8" t="b">
        <f>NOT(ISNA(MATCH($P442,Packages!$A:$A,0)))</f>
        <v>1</v>
      </c>
    </row>
    <row r="443" spans="1:21" hidden="1">
      <c r="A443" s="6" t="s">
        <v>47</v>
      </c>
      <c r="B443" s="6" t="s">
        <v>48</v>
      </c>
      <c r="C443" s="33">
        <v>470</v>
      </c>
      <c r="D443" s="34">
        <v>16</v>
      </c>
      <c r="E443" s="6" t="s">
        <v>92</v>
      </c>
      <c r="F443" s="6" t="s">
        <v>59</v>
      </c>
      <c r="G443" s="6"/>
      <c r="H443" s="7" t="s">
        <v>141</v>
      </c>
      <c r="I443" s="7"/>
      <c r="J443" s="7" t="str">
        <f t="shared" si="76"/>
        <v>JAMICON</v>
      </c>
      <c r="K443" s="7" t="str">
        <f t="shared" si="77"/>
        <v>470µF 16v</v>
      </c>
      <c r="L443" s="7" t="str">
        <f t="shared" si="85"/>
        <v>SK</v>
      </c>
      <c r="M443" s="31">
        <f t="shared" si="78"/>
        <v>10</v>
      </c>
      <c r="N443" s="31">
        <f t="shared" si="79"/>
        <v>12.5</v>
      </c>
      <c r="O443" s="8" t="str">
        <f t="shared" si="80"/>
        <v>Jamicon-SK</v>
      </c>
      <c r="P443" s="12" t="str">
        <f t="shared" si="74"/>
        <v>Jamicon R-10.0x13.0</v>
      </c>
      <c r="Q443" s="12" t="str">
        <f t="shared" si="81"/>
        <v>470µF</v>
      </c>
      <c r="R443" s="12" t="str">
        <f t="shared" si="82"/>
        <v>16v</v>
      </c>
      <c r="S443" s="8" t="str">
        <f t="shared" si="75"/>
        <v>470µF 16v - R10.0-12.5 Jamicon (SK)</v>
      </c>
      <c r="T443" s="8">
        <f t="shared" si="83"/>
        <v>1</v>
      </c>
      <c r="U443" s="8" t="b">
        <f>NOT(ISNA(MATCH($P443,Packages!$A:$A,0)))</f>
        <v>1</v>
      </c>
    </row>
    <row r="444" spans="1:21" hidden="1">
      <c r="A444" s="6" t="s">
        <v>47</v>
      </c>
      <c r="B444" s="6" t="s">
        <v>48</v>
      </c>
      <c r="C444" s="33">
        <v>1000</v>
      </c>
      <c r="D444" s="34">
        <v>16</v>
      </c>
      <c r="E444" s="6" t="s">
        <v>74</v>
      </c>
      <c r="F444" s="6" t="s">
        <v>59</v>
      </c>
      <c r="G444" s="6"/>
      <c r="H444" s="7" t="s">
        <v>141</v>
      </c>
      <c r="I444" s="7"/>
      <c r="J444" s="7" t="str">
        <f t="shared" si="76"/>
        <v>JAMICON</v>
      </c>
      <c r="K444" s="7" t="str">
        <f t="shared" si="77"/>
        <v>1000µF 16v</v>
      </c>
      <c r="L444" s="7" t="str">
        <f t="shared" si="85"/>
        <v>SK</v>
      </c>
      <c r="M444" s="31">
        <f t="shared" si="78"/>
        <v>10</v>
      </c>
      <c r="N444" s="31">
        <f t="shared" si="79"/>
        <v>16</v>
      </c>
      <c r="O444" s="8" t="str">
        <f t="shared" si="80"/>
        <v>Jamicon-SK</v>
      </c>
      <c r="P444" s="12" t="str">
        <f t="shared" si="74"/>
        <v>Jamicon R-10.0x16.0</v>
      </c>
      <c r="Q444" s="12" t="str">
        <f t="shared" si="81"/>
        <v>1000µF</v>
      </c>
      <c r="R444" s="12" t="str">
        <f t="shared" si="82"/>
        <v>16v</v>
      </c>
      <c r="S444" s="8" t="str">
        <f t="shared" si="75"/>
        <v>1000µF 16v - R10.0-16.0 Jamicon (SK)</v>
      </c>
      <c r="T444" s="8">
        <f t="shared" si="83"/>
        <v>1</v>
      </c>
      <c r="U444" s="8" t="b">
        <f>NOT(ISNA(MATCH($P444,Packages!$A:$A,0)))</f>
        <v>1</v>
      </c>
    </row>
    <row r="445" spans="1:21" hidden="1">
      <c r="A445" s="6" t="s">
        <v>47</v>
      </c>
      <c r="B445" s="6" t="s">
        <v>48</v>
      </c>
      <c r="C445" s="33">
        <v>1000</v>
      </c>
      <c r="D445" s="34">
        <v>16</v>
      </c>
      <c r="E445" s="6" t="s">
        <v>94</v>
      </c>
      <c r="F445" s="6" t="s">
        <v>59</v>
      </c>
      <c r="G445" s="6"/>
      <c r="H445" s="7" t="s">
        <v>141</v>
      </c>
      <c r="I445" s="7"/>
      <c r="J445" s="7" t="str">
        <f t="shared" si="76"/>
        <v>JAMICON</v>
      </c>
      <c r="K445" s="7" t="str">
        <f t="shared" si="77"/>
        <v>1000µF 16v</v>
      </c>
      <c r="L445" s="7" t="str">
        <f t="shared" si="85"/>
        <v>SK</v>
      </c>
      <c r="M445" s="31">
        <f t="shared" si="78"/>
        <v>10</v>
      </c>
      <c r="N445" s="31">
        <f t="shared" si="79"/>
        <v>20</v>
      </c>
      <c r="O445" s="8" t="str">
        <f t="shared" si="80"/>
        <v>Jamicon-SK</v>
      </c>
      <c r="P445" s="12" t="str">
        <f t="shared" si="74"/>
        <v>Jamicon R-10.0x20.0</v>
      </c>
      <c r="Q445" s="12" t="str">
        <f t="shared" si="81"/>
        <v>1000µF</v>
      </c>
      <c r="R445" s="12" t="str">
        <f t="shared" si="82"/>
        <v>16v</v>
      </c>
      <c r="S445" s="8" t="str">
        <f t="shared" si="75"/>
        <v>1000µF 16v - R10.0-20.0 Jamicon (SK)</v>
      </c>
      <c r="T445" s="8">
        <f t="shared" si="83"/>
        <v>1</v>
      </c>
      <c r="U445" s="8" t="b">
        <f>NOT(ISNA(MATCH($P445,Packages!$A:$A,0)))</f>
        <v>1</v>
      </c>
    </row>
    <row r="446" spans="1:21" hidden="1">
      <c r="A446" s="6" t="s">
        <v>47</v>
      </c>
      <c r="B446" s="6" t="s">
        <v>48</v>
      </c>
      <c r="C446" s="33">
        <v>2200</v>
      </c>
      <c r="D446" s="34">
        <v>16</v>
      </c>
      <c r="E446" s="6" t="s">
        <v>95</v>
      </c>
      <c r="F446" s="6" t="s">
        <v>59</v>
      </c>
      <c r="G446" s="6"/>
      <c r="H446" s="7" t="s">
        <v>141</v>
      </c>
      <c r="I446" s="7"/>
      <c r="J446" s="7" t="str">
        <f t="shared" si="76"/>
        <v>JAMICON</v>
      </c>
      <c r="K446" s="7" t="str">
        <f t="shared" si="77"/>
        <v>2200µF 16v</v>
      </c>
      <c r="L446" s="7" t="str">
        <f t="shared" si="85"/>
        <v>SK</v>
      </c>
      <c r="M446" s="31">
        <f t="shared" si="78"/>
        <v>12.5</v>
      </c>
      <c r="N446" s="31">
        <f t="shared" si="79"/>
        <v>20</v>
      </c>
      <c r="O446" s="8" t="str">
        <f t="shared" si="80"/>
        <v>Jamicon-SK</v>
      </c>
      <c r="P446" s="12" t="str">
        <f t="shared" si="74"/>
        <v>Jamicon R-13.0x20.0</v>
      </c>
      <c r="Q446" s="12" t="str">
        <f t="shared" si="81"/>
        <v>2200µF</v>
      </c>
      <c r="R446" s="12" t="str">
        <f t="shared" si="82"/>
        <v>16v</v>
      </c>
      <c r="S446" s="8" t="str">
        <f t="shared" si="75"/>
        <v>2200µF 16v - R12.5-20.0 Jamicon (SK)</v>
      </c>
      <c r="T446" s="8">
        <f t="shared" si="83"/>
        <v>1</v>
      </c>
      <c r="U446" s="8" t="b">
        <f>NOT(ISNA(MATCH($P446,Packages!$A:$A,0)))</f>
        <v>1</v>
      </c>
    </row>
    <row r="447" spans="1:21" hidden="1">
      <c r="A447" s="6" t="s">
        <v>47</v>
      </c>
      <c r="B447" s="6" t="s">
        <v>48</v>
      </c>
      <c r="C447" s="33">
        <v>2200</v>
      </c>
      <c r="D447" s="34">
        <v>16</v>
      </c>
      <c r="E447" s="6" t="s">
        <v>96</v>
      </c>
      <c r="F447" s="6" t="s">
        <v>59</v>
      </c>
      <c r="G447" s="6"/>
      <c r="H447" s="7" t="s">
        <v>141</v>
      </c>
      <c r="I447" s="7"/>
      <c r="J447" s="7" t="str">
        <f t="shared" si="76"/>
        <v>JAMICON</v>
      </c>
      <c r="K447" s="7" t="str">
        <f t="shared" si="77"/>
        <v>2200µF 16v</v>
      </c>
      <c r="L447" s="7" t="str">
        <f t="shared" si="85"/>
        <v>SK</v>
      </c>
      <c r="M447" s="31">
        <f t="shared" si="78"/>
        <v>12.5</v>
      </c>
      <c r="N447" s="31">
        <f t="shared" si="79"/>
        <v>25</v>
      </c>
      <c r="O447" s="8" t="str">
        <f t="shared" si="80"/>
        <v>Jamicon-SK</v>
      </c>
      <c r="P447" s="12" t="str">
        <f t="shared" si="74"/>
        <v>Jamicon R-13.0x25.0</v>
      </c>
      <c r="Q447" s="12" t="str">
        <f t="shared" si="81"/>
        <v>2200µF</v>
      </c>
      <c r="R447" s="12" t="str">
        <f t="shared" si="82"/>
        <v>16v</v>
      </c>
      <c r="S447" s="8" t="str">
        <f t="shared" si="75"/>
        <v>2200µF 16v - R12.5-25.0 Jamicon (SK)</v>
      </c>
      <c r="T447" s="8">
        <f t="shared" si="83"/>
        <v>1</v>
      </c>
      <c r="U447" s="8" t="b">
        <f>NOT(ISNA(MATCH($P447,Packages!$A:$A,0)))</f>
        <v>1</v>
      </c>
    </row>
    <row r="448" spans="1:21" hidden="1">
      <c r="A448" s="6" t="s">
        <v>47</v>
      </c>
      <c r="B448" s="6" t="s">
        <v>48</v>
      </c>
      <c r="C448" s="33">
        <v>3300</v>
      </c>
      <c r="D448" s="34">
        <v>16</v>
      </c>
      <c r="E448" s="6" t="s">
        <v>96</v>
      </c>
      <c r="F448" s="6" t="s">
        <v>59</v>
      </c>
      <c r="G448" s="6"/>
      <c r="H448" s="7" t="s">
        <v>141</v>
      </c>
      <c r="I448" s="7"/>
      <c r="J448" s="7" t="str">
        <f t="shared" si="76"/>
        <v>JAMICON</v>
      </c>
      <c r="K448" s="7" t="str">
        <f t="shared" si="77"/>
        <v>3300µF 16v</v>
      </c>
      <c r="L448" s="7" t="str">
        <f t="shared" si="85"/>
        <v>SK</v>
      </c>
      <c r="M448" s="31">
        <f t="shared" si="78"/>
        <v>12.5</v>
      </c>
      <c r="N448" s="31">
        <f t="shared" si="79"/>
        <v>25</v>
      </c>
      <c r="O448" s="8" t="str">
        <f t="shared" si="80"/>
        <v>Jamicon-SK</v>
      </c>
      <c r="P448" s="12" t="str">
        <f t="shared" si="74"/>
        <v>Jamicon R-13.0x25.0</v>
      </c>
      <c r="Q448" s="12" t="str">
        <f t="shared" si="81"/>
        <v>3300µF</v>
      </c>
      <c r="R448" s="12" t="str">
        <f t="shared" si="82"/>
        <v>16v</v>
      </c>
      <c r="S448" s="8" t="str">
        <f t="shared" si="75"/>
        <v>3300µF 16v - R12.5-25.0 Jamicon (SK)</v>
      </c>
      <c r="T448" s="8">
        <f t="shared" si="83"/>
        <v>1</v>
      </c>
      <c r="U448" s="8" t="b">
        <f>NOT(ISNA(MATCH($P448,Packages!$A:$A,0)))</f>
        <v>1</v>
      </c>
    </row>
    <row r="449" spans="1:21" hidden="1">
      <c r="A449" s="6" t="s">
        <v>47</v>
      </c>
      <c r="B449" s="6" t="s">
        <v>48</v>
      </c>
      <c r="C449" s="33">
        <v>3300</v>
      </c>
      <c r="D449" s="34">
        <v>16</v>
      </c>
      <c r="E449" s="6" t="s">
        <v>97</v>
      </c>
      <c r="F449" s="6" t="s">
        <v>59</v>
      </c>
      <c r="G449" s="6"/>
      <c r="H449" s="7" t="s">
        <v>141</v>
      </c>
      <c r="I449" s="7"/>
      <c r="J449" s="7" t="str">
        <f t="shared" si="76"/>
        <v>JAMICON</v>
      </c>
      <c r="K449" s="7" t="str">
        <f t="shared" si="77"/>
        <v>3300µF 16v</v>
      </c>
      <c r="L449" s="7" t="str">
        <f t="shared" si="85"/>
        <v>SK</v>
      </c>
      <c r="M449" s="31">
        <f t="shared" si="78"/>
        <v>16</v>
      </c>
      <c r="N449" s="31">
        <f t="shared" si="79"/>
        <v>25</v>
      </c>
      <c r="O449" s="8" t="str">
        <f t="shared" si="80"/>
        <v>Jamicon-SK</v>
      </c>
      <c r="P449" s="12" t="str">
        <f t="shared" si="74"/>
        <v>Jamicon R-16.0x25.0</v>
      </c>
      <c r="Q449" s="12" t="str">
        <f t="shared" si="81"/>
        <v>3300µF</v>
      </c>
      <c r="R449" s="12" t="str">
        <f t="shared" si="82"/>
        <v>16v</v>
      </c>
      <c r="S449" s="8" t="str">
        <f t="shared" si="75"/>
        <v>3300µF 16v - R16.0-25.0 Jamicon (SK)</v>
      </c>
      <c r="T449" s="8">
        <f t="shared" si="83"/>
        <v>1</v>
      </c>
      <c r="U449" s="8" t="b">
        <f>NOT(ISNA(MATCH($P449,Packages!$A:$A,0)))</f>
        <v>1</v>
      </c>
    </row>
    <row r="450" spans="1:21" hidden="1">
      <c r="A450" s="6" t="s">
        <v>47</v>
      </c>
      <c r="B450" s="6" t="s">
        <v>48</v>
      </c>
      <c r="C450" s="33">
        <v>4700</v>
      </c>
      <c r="D450" s="34">
        <v>16</v>
      </c>
      <c r="E450" s="6" t="s">
        <v>97</v>
      </c>
      <c r="F450" s="6" t="s">
        <v>59</v>
      </c>
      <c r="G450" s="6"/>
      <c r="H450" s="7" t="s">
        <v>141</v>
      </c>
      <c r="I450" s="7"/>
      <c r="J450" s="7" t="str">
        <f t="shared" si="76"/>
        <v>JAMICON</v>
      </c>
      <c r="K450" s="7" t="str">
        <f t="shared" si="77"/>
        <v>4700µF 16v</v>
      </c>
      <c r="L450" s="7" t="str">
        <f t="shared" si="85"/>
        <v>SK</v>
      </c>
      <c r="M450" s="31">
        <f t="shared" si="78"/>
        <v>16</v>
      </c>
      <c r="N450" s="31">
        <f t="shared" si="79"/>
        <v>25</v>
      </c>
      <c r="O450" s="8" t="str">
        <f t="shared" si="80"/>
        <v>Jamicon-SK</v>
      </c>
      <c r="P450" s="12" t="str">
        <f t="shared" ref="P450:P513" si="86">$A450&amp;" "&amp;LEFT($F450,1)&amp;"-"&amp;TEXT(ROUND($M450,0),"00.0")&amp;"x"&amp;TEXT(ROUND($N450,0),"00.0")</f>
        <v>Jamicon R-16.0x25.0</v>
      </c>
      <c r="Q450" s="12" t="str">
        <f t="shared" si="81"/>
        <v>4700µF</v>
      </c>
      <c r="R450" s="12" t="str">
        <f t="shared" si="82"/>
        <v>16v</v>
      </c>
      <c r="S450" s="8" t="str">
        <f t="shared" ref="S450:S513" si="87">$Q450&amp;" "&amp;$R450&amp;" - "&amp;LEFT($F450,1)&amp;TEXT($M450,"00.0")&amp;"-"&amp;TEXT($N450,"00.0")&amp;" "&amp;A450&amp;" ("&amp;B450&amp;")"&amp;IF(ISBLANK($G450),""," "&amp;$G450)</f>
        <v>4700µF 16v - R16.0-25.0 Jamicon (SK)</v>
      </c>
      <c r="T450" s="8">
        <f t="shared" si="83"/>
        <v>1</v>
      </c>
      <c r="U450" s="8" t="b">
        <f>NOT(ISNA(MATCH($P450,Packages!$A:$A,0)))</f>
        <v>1</v>
      </c>
    </row>
    <row r="451" spans="1:21" hidden="1">
      <c r="A451" s="6" t="s">
        <v>47</v>
      </c>
      <c r="B451" s="6" t="s">
        <v>48</v>
      </c>
      <c r="C451" s="33">
        <v>4700</v>
      </c>
      <c r="D451" s="34">
        <v>16</v>
      </c>
      <c r="E451" s="6" t="s">
        <v>98</v>
      </c>
      <c r="F451" s="6" t="s">
        <v>59</v>
      </c>
      <c r="G451" s="6"/>
      <c r="H451" s="7" t="s">
        <v>141</v>
      </c>
      <c r="I451" s="7"/>
      <c r="J451" s="7" t="str">
        <f t="shared" ref="J451:J491" si="88">UPPER($A451)</f>
        <v>JAMICON</v>
      </c>
      <c r="K451" s="7" t="str">
        <f t="shared" ref="K451:K514" si="89">$Q451&amp;" "&amp;$R451</f>
        <v>4700µF 16v</v>
      </c>
      <c r="L451" s="7" t="str">
        <f t="shared" si="85"/>
        <v>SK</v>
      </c>
      <c r="M451" s="31">
        <f t="shared" ref="M451:M514" si="90">VALUE(LEFT($E451,SEARCH("x",$E451)-1))</f>
        <v>16</v>
      </c>
      <c r="N451" s="31">
        <f t="shared" ref="N451:N514" si="91">VALUE(RIGHT($E451,LEN($E451)-SEARCH("x",$E451)))</f>
        <v>31.5</v>
      </c>
      <c r="O451" s="8" t="str">
        <f t="shared" ref="O451:O514" si="92">$A451&amp;"-"&amp;$B451</f>
        <v>Jamicon-SK</v>
      </c>
      <c r="P451" s="12" t="str">
        <f t="shared" si="86"/>
        <v>Jamicon R-16.0x32.0</v>
      </c>
      <c r="Q451" s="12" t="str">
        <f t="shared" ref="Q451:Q514" si="93">TEXT($C451,"General"&amp;CHAR(34)&amp;"µF"&amp;CHAR(34))</f>
        <v>4700µF</v>
      </c>
      <c r="R451" s="12" t="str">
        <f t="shared" ref="R451:R514" si="94">TEXT($D451,"General"&amp;CHAR(34)&amp;"v"&amp;CHAR(34))</f>
        <v>16v</v>
      </c>
      <c r="S451" s="8" t="str">
        <f t="shared" si="87"/>
        <v>4700µF 16v - R16.0-31.5 Jamicon (SK)</v>
      </c>
      <c r="T451" s="8">
        <f t="shared" ref="T451:T514" si="95">COUNTIF($S:$S,$S451)</f>
        <v>1</v>
      </c>
      <c r="U451" s="8" t="b">
        <f>NOT(ISNA(MATCH($P451,Packages!$A:$A,0)))</f>
        <v>1</v>
      </c>
    </row>
    <row r="452" spans="1:21" hidden="1">
      <c r="A452" s="6" t="s">
        <v>47</v>
      </c>
      <c r="B452" s="6" t="s">
        <v>48</v>
      </c>
      <c r="C452" s="33">
        <v>6800</v>
      </c>
      <c r="D452" s="34">
        <v>16</v>
      </c>
      <c r="E452" s="6" t="s">
        <v>98</v>
      </c>
      <c r="F452" s="6" t="s">
        <v>59</v>
      </c>
      <c r="G452" s="6"/>
      <c r="H452" s="7" t="s">
        <v>141</v>
      </c>
      <c r="I452" s="7"/>
      <c r="J452" s="7" t="str">
        <f t="shared" si="88"/>
        <v>JAMICON</v>
      </c>
      <c r="K452" s="7" t="str">
        <f t="shared" si="89"/>
        <v>6800µF 16v</v>
      </c>
      <c r="L452" s="7" t="str">
        <f t="shared" si="85"/>
        <v>SK</v>
      </c>
      <c r="M452" s="31">
        <f t="shared" si="90"/>
        <v>16</v>
      </c>
      <c r="N452" s="31">
        <f t="shared" si="91"/>
        <v>31.5</v>
      </c>
      <c r="O452" s="8" t="str">
        <f t="shared" si="92"/>
        <v>Jamicon-SK</v>
      </c>
      <c r="P452" s="12" t="str">
        <f t="shared" si="86"/>
        <v>Jamicon R-16.0x32.0</v>
      </c>
      <c r="Q452" s="12" t="str">
        <f t="shared" si="93"/>
        <v>6800µF</v>
      </c>
      <c r="R452" s="12" t="str">
        <f t="shared" si="94"/>
        <v>16v</v>
      </c>
      <c r="S452" s="8" t="str">
        <f t="shared" si="87"/>
        <v>6800µF 16v - R16.0-31.5 Jamicon (SK)</v>
      </c>
      <c r="T452" s="8">
        <f t="shared" si="95"/>
        <v>1</v>
      </c>
      <c r="U452" s="8" t="b">
        <f>NOT(ISNA(MATCH($P452,Packages!$A:$A,0)))</f>
        <v>1</v>
      </c>
    </row>
    <row r="453" spans="1:21" hidden="1">
      <c r="A453" s="6" t="s">
        <v>47</v>
      </c>
      <c r="B453" s="6" t="s">
        <v>48</v>
      </c>
      <c r="C453" s="33">
        <v>6800</v>
      </c>
      <c r="D453" s="34">
        <v>16</v>
      </c>
      <c r="E453" s="6" t="s">
        <v>100</v>
      </c>
      <c r="F453" s="6" t="s">
        <v>59</v>
      </c>
      <c r="G453" s="6"/>
      <c r="H453" s="7" t="s">
        <v>141</v>
      </c>
      <c r="I453" s="7"/>
      <c r="J453" s="7" t="str">
        <f t="shared" si="88"/>
        <v>JAMICON</v>
      </c>
      <c r="K453" s="7" t="str">
        <f t="shared" si="89"/>
        <v>6800µF 16v</v>
      </c>
      <c r="L453" s="7" t="str">
        <f t="shared" si="85"/>
        <v>SK</v>
      </c>
      <c r="M453" s="31">
        <f t="shared" si="90"/>
        <v>18</v>
      </c>
      <c r="N453" s="31">
        <f t="shared" si="91"/>
        <v>35.5</v>
      </c>
      <c r="O453" s="8" t="str">
        <f t="shared" si="92"/>
        <v>Jamicon-SK</v>
      </c>
      <c r="P453" s="12" t="str">
        <f t="shared" si="86"/>
        <v>Jamicon R-18.0x36.0</v>
      </c>
      <c r="Q453" s="12" t="str">
        <f t="shared" si="93"/>
        <v>6800µF</v>
      </c>
      <c r="R453" s="12" t="str">
        <f t="shared" si="94"/>
        <v>16v</v>
      </c>
      <c r="S453" s="8" t="str">
        <f t="shared" si="87"/>
        <v>6800µF 16v - R18.0-35.5 Jamicon (SK)</v>
      </c>
      <c r="T453" s="8">
        <f t="shared" si="95"/>
        <v>1</v>
      </c>
      <c r="U453" s="8" t="b">
        <f>NOT(ISNA(MATCH($P453,Packages!$A:$A,0)))</f>
        <v>1</v>
      </c>
    </row>
    <row r="454" spans="1:21" hidden="1">
      <c r="A454" s="6" t="s">
        <v>47</v>
      </c>
      <c r="B454" s="6" t="s">
        <v>48</v>
      </c>
      <c r="C454" s="33">
        <v>8200</v>
      </c>
      <c r="D454" s="34">
        <v>16</v>
      </c>
      <c r="E454" s="6" t="s">
        <v>99</v>
      </c>
      <c r="F454" s="6" t="s">
        <v>59</v>
      </c>
      <c r="G454" s="6"/>
      <c r="H454" s="7" t="s">
        <v>141</v>
      </c>
      <c r="I454" s="7"/>
      <c r="J454" s="7" t="str">
        <f t="shared" si="88"/>
        <v>JAMICON</v>
      </c>
      <c r="K454" s="7" t="str">
        <f t="shared" si="89"/>
        <v>8200µF 16v</v>
      </c>
      <c r="L454" s="7" t="str">
        <f t="shared" si="85"/>
        <v>SK</v>
      </c>
      <c r="M454" s="31">
        <f t="shared" si="90"/>
        <v>16</v>
      </c>
      <c r="N454" s="31">
        <f t="shared" si="91"/>
        <v>35.5</v>
      </c>
      <c r="O454" s="8" t="str">
        <f t="shared" si="92"/>
        <v>Jamicon-SK</v>
      </c>
      <c r="P454" s="12" t="str">
        <f t="shared" si="86"/>
        <v>Jamicon R-16.0x36.0</v>
      </c>
      <c r="Q454" s="12" t="str">
        <f t="shared" si="93"/>
        <v>8200µF</v>
      </c>
      <c r="R454" s="12" t="str">
        <f t="shared" si="94"/>
        <v>16v</v>
      </c>
      <c r="S454" s="8" t="str">
        <f t="shared" si="87"/>
        <v>8200µF 16v - R16.0-35.5 Jamicon (SK)</v>
      </c>
      <c r="T454" s="8">
        <f t="shared" si="95"/>
        <v>1</v>
      </c>
      <c r="U454" s="8" t="b">
        <f>NOT(ISNA(MATCH($P454,Packages!$A:$A,0)))</f>
        <v>1</v>
      </c>
    </row>
    <row r="455" spans="1:21" hidden="1">
      <c r="A455" s="6" t="s">
        <v>47</v>
      </c>
      <c r="B455" s="6" t="s">
        <v>48</v>
      </c>
      <c r="C455" s="33">
        <v>8200</v>
      </c>
      <c r="D455" s="34">
        <v>16</v>
      </c>
      <c r="E455" s="6" t="s">
        <v>101</v>
      </c>
      <c r="F455" s="6" t="s">
        <v>59</v>
      </c>
      <c r="G455" s="6"/>
      <c r="H455" s="7" t="s">
        <v>141</v>
      </c>
      <c r="I455" s="7"/>
      <c r="J455" s="7" t="str">
        <f t="shared" si="88"/>
        <v>JAMICON</v>
      </c>
      <c r="K455" s="7" t="str">
        <f t="shared" si="89"/>
        <v>8200µF 16v</v>
      </c>
      <c r="L455" s="7" t="str">
        <f t="shared" si="85"/>
        <v>SK</v>
      </c>
      <c r="M455" s="31">
        <f t="shared" si="90"/>
        <v>18</v>
      </c>
      <c r="N455" s="31">
        <f t="shared" si="91"/>
        <v>40</v>
      </c>
      <c r="O455" s="8" t="str">
        <f t="shared" si="92"/>
        <v>Jamicon-SK</v>
      </c>
      <c r="P455" s="12" t="str">
        <f t="shared" si="86"/>
        <v>Jamicon R-18.0x40.0</v>
      </c>
      <c r="Q455" s="12" t="str">
        <f t="shared" si="93"/>
        <v>8200µF</v>
      </c>
      <c r="R455" s="12" t="str">
        <f t="shared" si="94"/>
        <v>16v</v>
      </c>
      <c r="S455" s="8" t="str">
        <f t="shared" si="87"/>
        <v>8200µF 16v - R18.0-40.0 Jamicon (SK)</v>
      </c>
      <c r="T455" s="8">
        <f t="shared" si="95"/>
        <v>1</v>
      </c>
      <c r="U455" s="8" t="b">
        <f>NOT(ISNA(MATCH($P455,Packages!$A:$A,0)))</f>
        <v>1</v>
      </c>
    </row>
    <row r="456" spans="1:21" hidden="1">
      <c r="A456" s="6" t="s">
        <v>47</v>
      </c>
      <c r="B456" s="6" t="s">
        <v>48</v>
      </c>
      <c r="C456" s="33">
        <v>10000</v>
      </c>
      <c r="D456" s="34">
        <v>16</v>
      </c>
      <c r="E456" s="6" t="s">
        <v>100</v>
      </c>
      <c r="F456" s="6" t="s">
        <v>59</v>
      </c>
      <c r="G456" s="6"/>
      <c r="H456" s="7" t="s">
        <v>141</v>
      </c>
      <c r="I456" s="7"/>
      <c r="J456" s="7" t="str">
        <f t="shared" si="88"/>
        <v>JAMICON</v>
      </c>
      <c r="K456" s="7" t="str">
        <f t="shared" si="89"/>
        <v>10000µF 16v</v>
      </c>
      <c r="L456" s="7" t="str">
        <f t="shared" si="85"/>
        <v>SK</v>
      </c>
      <c r="M456" s="31">
        <f t="shared" si="90"/>
        <v>18</v>
      </c>
      <c r="N456" s="31">
        <f t="shared" si="91"/>
        <v>35.5</v>
      </c>
      <c r="O456" s="8" t="str">
        <f t="shared" si="92"/>
        <v>Jamicon-SK</v>
      </c>
      <c r="P456" s="12" t="str">
        <f t="shared" si="86"/>
        <v>Jamicon R-18.0x36.0</v>
      </c>
      <c r="Q456" s="12" t="str">
        <f t="shared" si="93"/>
        <v>10000µF</v>
      </c>
      <c r="R456" s="12" t="str">
        <f t="shared" si="94"/>
        <v>16v</v>
      </c>
      <c r="S456" s="8" t="str">
        <f t="shared" si="87"/>
        <v>10000µF 16v - R18.0-35.5 Jamicon (SK)</v>
      </c>
      <c r="T456" s="8">
        <f t="shared" si="95"/>
        <v>1</v>
      </c>
      <c r="U456" s="8" t="b">
        <f>NOT(ISNA(MATCH($P456,Packages!$A:$A,0)))</f>
        <v>1</v>
      </c>
    </row>
    <row r="457" spans="1:21" hidden="1">
      <c r="A457" s="6" t="s">
        <v>47</v>
      </c>
      <c r="B457" s="6" t="s">
        <v>48</v>
      </c>
      <c r="C457" s="33">
        <v>10000</v>
      </c>
      <c r="D457" s="34">
        <v>16</v>
      </c>
      <c r="E457" s="6" t="s">
        <v>101</v>
      </c>
      <c r="F457" s="6" t="s">
        <v>59</v>
      </c>
      <c r="G457" s="6"/>
      <c r="H457" s="7" t="s">
        <v>141</v>
      </c>
      <c r="I457" s="7"/>
      <c r="J457" s="7" t="str">
        <f t="shared" si="88"/>
        <v>JAMICON</v>
      </c>
      <c r="K457" s="7" t="str">
        <f t="shared" si="89"/>
        <v>10000µF 16v</v>
      </c>
      <c r="L457" s="7" t="str">
        <f t="shared" si="85"/>
        <v>SK</v>
      </c>
      <c r="M457" s="31">
        <f t="shared" si="90"/>
        <v>18</v>
      </c>
      <c r="N457" s="31">
        <f t="shared" si="91"/>
        <v>40</v>
      </c>
      <c r="O457" s="8" t="str">
        <f t="shared" si="92"/>
        <v>Jamicon-SK</v>
      </c>
      <c r="P457" s="12" t="str">
        <f t="shared" si="86"/>
        <v>Jamicon R-18.0x40.0</v>
      </c>
      <c r="Q457" s="12" t="str">
        <f t="shared" si="93"/>
        <v>10000µF</v>
      </c>
      <c r="R457" s="12" t="str">
        <f t="shared" si="94"/>
        <v>16v</v>
      </c>
      <c r="S457" s="8" t="str">
        <f t="shared" si="87"/>
        <v>10000µF 16v - R18.0-40.0 Jamicon (SK)</v>
      </c>
      <c r="T457" s="8">
        <f t="shared" si="95"/>
        <v>1</v>
      </c>
      <c r="U457" s="8" t="b">
        <f>NOT(ISNA(MATCH($P457,Packages!$A:$A,0)))</f>
        <v>1</v>
      </c>
    </row>
    <row r="458" spans="1:21" hidden="1">
      <c r="A458" s="6" t="s">
        <v>47</v>
      </c>
      <c r="B458" s="6" t="s">
        <v>48</v>
      </c>
      <c r="C458" s="33">
        <v>15000</v>
      </c>
      <c r="D458" s="34">
        <v>16</v>
      </c>
      <c r="E458" s="6" t="s">
        <v>104</v>
      </c>
      <c r="F458" s="6" t="s">
        <v>59</v>
      </c>
      <c r="G458" s="6"/>
      <c r="H458" s="7" t="s">
        <v>141</v>
      </c>
      <c r="I458" s="7"/>
      <c r="J458" s="7" t="str">
        <f t="shared" si="88"/>
        <v>JAMICON</v>
      </c>
      <c r="K458" s="7" t="str">
        <f t="shared" si="89"/>
        <v>15000µF 16v</v>
      </c>
      <c r="L458" s="7" t="str">
        <f t="shared" si="85"/>
        <v>SK</v>
      </c>
      <c r="M458" s="31">
        <f t="shared" si="90"/>
        <v>22</v>
      </c>
      <c r="N458" s="31">
        <f t="shared" si="91"/>
        <v>40</v>
      </c>
      <c r="O458" s="8" t="str">
        <f t="shared" si="92"/>
        <v>Jamicon-SK</v>
      </c>
      <c r="P458" s="12" t="str">
        <f t="shared" si="86"/>
        <v>Jamicon R-22.0x40.0</v>
      </c>
      <c r="Q458" s="12" t="str">
        <f t="shared" si="93"/>
        <v>15000µF</v>
      </c>
      <c r="R458" s="12" t="str">
        <f t="shared" si="94"/>
        <v>16v</v>
      </c>
      <c r="S458" s="8" t="str">
        <f t="shared" si="87"/>
        <v>15000µF 16v - R22.0-40.0 Jamicon (SK)</v>
      </c>
      <c r="T458" s="8">
        <f t="shared" si="95"/>
        <v>1</v>
      </c>
      <c r="U458" s="8" t="b">
        <f>NOT(ISNA(MATCH($P458,Packages!$A:$A,0)))</f>
        <v>1</v>
      </c>
    </row>
    <row r="459" spans="1:21" hidden="1">
      <c r="A459" s="6" t="s">
        <v>47</v>
      </c>
      <c r="B459" s="6" t="s">
        <v>48</v>
      </c>
      <c r="C459" s="33">
        <v>15000</v>
      </c>
      <c r="D459" s="34">
        <v>16</v>
      </c>
      <c r="E459" s="6" t="s">
        <v>106</v>
      </c>
      <c r="F459" s="6" t="s">
        <v>59</v>
      </c>
      <c r="G459" s="6"/>
      <c r="H459" s="7" t="s">
        <v>141</v>
      </c>
      <c r="I459" s="7"/>
      <c r="J459" s="7" t="str">
        <f t="shared" si="88"/>
        <v>JAMICON</v>
      </c>
      <c r="K459" s="7" t="str">
        <f t="shared" si="89"/>
        <v>15000µF 16v</v>
      </c>
      <c r="L459" s="7" t="str">
        <f t="shared" si="85"/>
        <v>SK</v>
      </c>
      <c r="M459" s="31">
        <f t="shared" si="90"/>
        <v>22</v>
      </c>
      <c r="N459" s="31">
        <f t="shared" si="91"/>
        <v>50</v>
      </c>
      <c r="O459" s="8" t="str">
        <f t="shared" si="92"/>
        <v>Jamicon-SK</v>
      </c>
      <c r="P459" s="12" t="str">
        <f t="shared" si="86"/>
        <v>Jamicon R-22.0x50.0</v>
      </c>
      <c r="Q459" s="12" t="str">
        <f t="shared" si="93"/>
        <v>15000µF</v>
      </c>
      <c r="R459" s="12" t="str">
        <f t="shared" si="94"/>
        <v>16v</v>
      </c>
      <c r="S459" s="8" t="str">
        <f t="shared" si="87"/>
        <v>15000µF 16v - R22.0-50.0 Jamicon (SK)</v>
      </c>
      <c r="T459" s="8">
        <f t="shared" si="95"/>
        <v>1</v>
      </c>
      <c r="U459" s="8" t="b">
        <f>NOT(ISNA(MATCH($P459,Packages!$A:$A,0)))</f>
        <v>1</v>
      </c>
    </row>
    <row r="460" spans="1:21" hidden="1">
      <c r="A460" s="6" t="s">
        <v>47</v>
      </c>
      <c r="B460" s="6" t="s">
        <v>48</v>
      </c>
      <c r="C460" s="33">
        <v>22000</v>
      </c>
      <c r="D460" s="34">
        <v>16</v>
      </c>
      <c r="E460" s="6" t="s">
        <v>86</v>
      </c>
      <c r="F460" s="6" t="s">
        <v>59</v>
      </c>
      <c r="G460" s="6"/>
      <c r="H460" s="7" t="s">
        <v>141</v>
      </c>
      <c r="I460" s="7"/>
      <c r="J460" s="7" t="str">
        <f t="shared" si="88"/>
        <v>JAMICON</v>
      </c>
      <c r="K460" s="7" t="str">
        <f t="shared" si="89"/>
        <v>22000µF 16v</v>
      </c>
      <c r="L460" s="7" t="str">
        <f t="shared" si="85"/>
        <v>SK</v>
      </c>
      <c r="M460" s="31">
        <f t="shared" si="90"/>
        <v>25</v>
      </c>
      <c r="N460" s="31">
        <f t="shared" si="91"/>
        <v>50</v>
      </c>
      <c r="O460" s="8" t="str">
        <f t="shared" si="92"/>
        <v>Jamicon-SK</v>
      </c>
      <c r="P460" s="12" t="str">
        <f t="shared" si="86"/>
        <v>Jamicon R-25.0x50.0</v>
      </c>
      <c r="Q460" s="12" t="str">
        <f t="shared" si="93"/>
        <v>22000µF</v>
      </c>
      <c r="R460" s="12" t="str">
        <f t="shared" si="94"/>
        <v>16v</v>
      </c>
      <c r="S460" s="8" t="str">
        <f t="shared" si="87"/>
        <v>22000µF 16v - R25.0-50.0 Jamicon (SK)</v>
      </c>
      <c r="T460" s="8">
        <f t="shared" si="95"/>
        <v>1</v>
      </c>
      <c r="U460" s="8" t="b">
        <f>NOT(ISNA(MATCH($P460,Packages!$A:$A,0)))</f>
        <v>1</v>
      </c>
    </row>
    <row r="461" spans="1:21" hidden="1">
      <c r="A461" s="6" t="s">
        <v>47</v>
      </c>
      <c r="B461" s="6" t="s">
        <v>48</v>
      </c>
      <c r="C461" s="33">
        <v>10</v>
      </c>
      <c r="D461" s="34">
        <v>25</v>
      </c>
      <c r="E461" s="6" t="s">
        <v>68</v>
      </c>
      <c r="F461" s="6" t="s">
        <v>59</v>
      </c>
      <c r="G461" s="6"/>
      <c r="H461" s="7" t="s">
        <v>141</v>
      </c>
      <c r="I461" s="7"/>
      <c r="J461" s="7" t="str">
        <f t="shared" si="88"/>
        <v>JAMICON</v>
      </c>
      <c r="K461" s="7" t="str">
        <f t="shared" si="89"/>
        <v>10µF 25v</v>
      </c>
      <c r="L461" s="7" t="str">
        <f t="shared" si="85"/>
        <v>SK</v>
      </c>
      <c r="M461" s="31">
        <f t="shared" si="90"/>
        <v>5</v>
      </c>
      <c r="N461" s="31">
        <f t="shared" si="91"/>
        <v>11</v>
      </c>
      <c r="O461" s="8" t="str">
        <f t="shared" si="92"/>
        <v>Jamicon-SK</v>
      </c>
      <c r="P461" s="12" t="str">
        <f t="shared" si="86"/>
        <v>Jamicon R-05.0x11.0</v>
      </c>
      <c r="Q461" s="12" t="str">
        <f t="shared" si="93"/>
        <v>10µF</v>
      </c>
      <c r="R461" s="12" t="str">
        <f t="shared" si="94"/>
        <v>25v</v>
      </c>
      <c r="S461" s="8" t="str">
        <f t="shared" si="87"/>
        <v>10µF 25v - R05.0-11.0 Jamicon (SK)</v>
      </c>
      <c r="T461" s="8">
        <f t="shared" si="95"/>
        <v>1</v>
      </c>
      <c r="U461" s="8" t="b">
        <f>NOT(ISNA(MATCH($P461,Packages!$A:$A,0)))</f>
        <v>1</v>
      </c>
    </row>
    <row r="462" spans="1:21" hidden="1">
      <c r="A462" s="6" t="s">
        <v>47</v>
      </c>
      <c r="B462" s="6" t="s">
        <v>48</v>
      </c>
      <c r="C462" s="33">
        <v>22</v>
      </c>
      <c r="D462" s="34">
        <v>25</v>
      </c>
      <c r="E462" s="6" t="s">
        <v>68</v>
      </c>
      <c r="F462" s="6" t="s">
        <v>59</v>
      </c>
      <c r="G462" s="6"/>
      <c r="H462" s="7" t="s">
        <v>141</v>
      </c>
      <c r="I462" s="7"/>
      <c r="J462" s="7" t="str">
        <f t="shared" si="88"/>
        <v>JAMICON</v>
      </c>
      <c r="K462" s="7" t="str">
        <f t="shared" si="89"/>
        <v>22µF 25v</v>
      </c>
      <c r="L462" s="7" t="str">
        <f t="shared" si="85"/>
        <v>SK</v>
      </c>
      <c r="M462" s="31">
        <f t="shared" si="90"/>
        <v>5</v>
      </c>
      <c r="N462" s="31">
        <f t="shared" si="91"/>
        <v>11</v>
      </c>
      <c r="O462" s="8" t="str">
        <f t="shared" si="92"/>
        <v>Jamicon-SK</v>
      </c>
      <c r="P462" s="12" t="str">
        <f t="shared" si="86"/>
        <v>Jamicon R-05.0x11.0</v>
      </c>
      <c r="Q462" s="12" t="str">
        <f t="shared" si="93"/>
        <v>22µF</v>
      </c>
      <c r="R462" s="12" t="str">
        <f t="shared" si="94"/>
        <v>25v</v>
      </c>
      <c r="S462" s="8" t="str">
        <f t="shared" si="87"/>
        <v>22µF 25v - R05.0-11.0 Jamicon (SK)</v>
      </c>
      <c r="T462" s="8">
        <f t="shared" si="95"/>
        <v>1</v>
      </c>
      <c r="U462" s="8" t="b">
        <f>NOT(ISNA(MATCH($P462,Packages!$A:$A,0)))</f>
        <v>1</v>
      </c>
    </row>
    <row r="463" spans="1:21" hidden="1">
      <c r="A463" s="6" t="s">
        <v>47</v>
      </c>
      <c r="B463" s="6" t="s">
        <v>48</v>
      </c>
      <c r="C463" s="33">
        <v>33</v>
      </c>
      <c r="D463" s="34">
        <v>25</v>
      </c>
      <c r="E463" s="6" t="s">
        <v>68</v>
      </c>
      <c r="F463" s="6" t="s">
        <v>59</v>
      </c>
      <c r="G463" s="6"/>
      <c r="H463" s="7" t="s">
        <v>141</v>
      </c>
      <c r="I463" s="7"/>
      <c r="J463" s="7" t="str">
        <f t="shared" si="88"/>
        <v>JAMICON</v>
      </c>
      <c r="K463" s="7" t="str">
        <f t="shared" si="89"/>
        <v>33µF 25v</v>
      </c>
      <c r="L463" s="7" t="str">
        <f t="shared" si="85"/>
        <v>SK</v>
      </c>
      <c r="M463" s="31">
        <f t="shared" si="90"/>
        <v>5</v>
      </c>
      <c r="N463" s="31">
        <f t="shared" si="91"/>
        <v>11</v>
      </c>
      <c r="O463" s="8" t="str">
        <f t="shared" si="92"/>
        <v>Jamicon-SK</v>
      </c>
      <c r="P463" s="12" t="str">
        <f t="shared" si="86"/>
        <v>Jamicon R-05.0x11.0</v>
      </c>
      <c r="Q463" s="12" t="str">
        <f t="shared" si="93"/>
        <v>33µF</v>
      </c>
      <c r="R463" s="12" t="str">
        <f t="shared" si="94"/>
        <v>25v</v>
      </c>
      <c r="S463" s="8" t="str">
        <f t="shared" si="87"/>
        <v>33µF 25v - R05.0-11.0 Jamicon (SK)</v>
      </c>
      <c r="T463" s="8">
        <f t="shared" si="95"/>
        <v>1</v>
      </c>
      <c r="U463" s="8" t="b">
        <f>NOT(ISNA(MATCH($P463,Packages!$A:$A,0)))</f>
        <v>1</v>
      </c>
    </row>
    <row r="464" spans="1:21" hidden="1">
      <c r="A464" s="6" t="s">
        <v>47</v>
      </c>
      <c r="B464" s="6" t="s">
        <v>48</v>
      </c>
      <c r="C464" s="33">
        <v>33</v>
      </c>
      <c r="D464" s="34">
        <v>25</v>
      </c>
      <c r="E464" s="6" t="s">
        <v>69</v>
      </c>
      <c r="F464" s="6" t="s">
        <v>59</v>
      </c>
      <c r="G464" s="6"/>
      <c r="H464" s="7" t="s">
        <v>141</v>
      </c>
      <c r="I464" s="7"/>
      <c r="J464" s="7" t="str">
        <f t="shared" si="88"/>
        <v>JAMICON</v>
      </c>
      <c r="K464" s="7" t="str">
        <f t="shared" si="89"/>
        <v>33µF 25v</v>
      </c>
      <c r="L464" s="7" t="str">
        <f t="shared" si="85"/>
        <v>SK</v>
      </c>
      <c r="M464" s="31">
        <f t="shared" si="90"/>
        <v>6.3</v>
      </c>
      <c r="N464" s="31">
        <f t="shared" si="91"/>
        <v>11</v>
      </c>
      <c r="O464" s="8" t="str">
        <f t="shared" si="92"/>
        <v>Jamicon-SK</v>
      </c>
      <c r="P464" s="12" t="str">
        <f t="shared" si="86"/>
        <v>Jamicon R-06.0x11.0</v>
      </c>
      <c r="Q464" s="12" t="str">
        <f t="shared" si="93"/>
        <v>33µF</v>
      </c>
      <c r="R464" s="12" t="str">
        <f t="shared" si="94"/>
        <v>25v</v>
      </c>
      <c r="S464" s="8" t="str">
        <f t="shared" si="87"/>
        <v>33µF 25v - R06.3-11.0 Jamicon (SK)</v>
      </c>
      <c r="T464" s="8">
        <f t="shared" si="95"/>
        <v>1</v>
      </c>
      <c r="U464" s="8" t="b">
        <f>NOT(ISNA(MATCH($P464,Packages!$A:$A,0)))</f>
        <v>1</v>
      </c>
    </row>
    <row r="465" spans="1:21" hidden="1">
      <c r="A465" s="6" t="s">
        <v>47</v>
      </c>
      <c r="B465" s="6" t="s">
        <v>48</v>
      </c>
      <c r="C465" s="33">
        <v>47</v>
      </c>
      <c r="D465" s="34">
        <v>25</v>
      </c>
      <c r="E465" s="6" t="s">
        <v>68</v>
      </c>
      <c r="F465" s="6" t="s">
        <v>59</v>
      </c>
      <c r="G465" s="6"/>
      <c r="H465" s="7" t="s">
        <v>141</v>
      </c>
      <c r="I465" s="7"/>
      <c r="J465" s="7" t="str">
        <f t="shared" si="88"/>
        <v>JAMICON</v>
      </c>
      <c r="K465" s="7" t="str">
        <f t="shared" si="89"/>
        <v>47µF 25v</v>
      </c>
      <c r="L465" s="7" t="str">
        <f t="shared" si="85"/>
        <v>SK</v>
      </c>
      <c r="M465" s="31">
        <f t="shared" si="90"/>
        <v>5</v>
      </c>
      <c r="N465" s="31">
        <f t="shared" si="91"/>
        <v>11</v>
      </c>
      <c r="O465" s="8" t="str">
        <f t="shared" si="92"/>
        <v>Jamicon-SK</v>
      </c>
      <c r="P465" s="12" t="str">
        <f t="shared" si="86"/>
        <v>Jamicon R-05.0x11.0</v>
      </c>
      <c r="Q465" s="12" t="str">
        <f t="shared" si="93"/>
        <v>47µF</v>
      </c>
      <c r="R465" s="12" t="str">
        <f t="shared" si="94"/>
        <v>25v</v>
      </c>
      <c r="S465" s="8" t="str">
        <f t="shared" si="87"/>
        <v>47µF 25v - R05.0-11.0 Jamicon (SK)</v>
      </c>
      <c r="T465" s="8">
        <f t="shared" si="95"/>
        <v>1</v>
      </c>
      <c r="U465" s="8" t="b">
        <f>NOT(ISNA(MATCH($P465,Packages!$A:$A,0)))</f>
        <v>1</v>
      </c>
    </row>
    <row r="466" spans="1:21" hidden="1">
      <c r="A466" s="6" t="s">
        <v>47</v>
      </c>
      <c r="B466" s="6" t="s">
        <v>48</v>
      </c>
      <c r="C466" s="33">
        <v>47</v>
      </c>
      <c r="D466" s="34">
        <v>25</v>
      </c>
      <c r="E466" s="6" t="s">
        <v>69</v>
      </c>
      <c r="F466" s="6" t="s">
        <v>59</v>
      </c>
      <c r="G466" s="6"/>
      <c r="H466" s="7" t="s">
        <v>141</v>
      </c>
      <c r="I466" s="7"/>
      <c r="J466" s="7" t="str">
        <f t="shared" si="88"/>
        <v>JAMICON</v>
      </c>
      <c r="K466" s="7" t="str">
        <f t="shared" si="89"/>
        <v>47µF 25v</v>
      </c>
      <c r="L466" s="7" t="str">
        <f t="shared" si="85"/>
        <v>SK</v>
      </c>
      <c r="M466" s="31">
        <f t="shared" si="90"/>
        <v>6.3</v>
      </c>
      <c r="N466" s="31">
        <f t="shared" si="91"/>
        <v>11</v>
      </c>
      <c r="O466" s="8" t="str">
        <f t="shared" si="92"/>
        <v>Jamicon-SK</v>
      </c>
      <c r="P466" s="12" t="str">
        <f t="shared" si="86"/>
        <v>Jamicon R-06.0x11.0</v>
      </c>
      <c r="Q466" s="12" t="str">
        <f t="shared" si="93"/>
        <v>47µF</v>
      </c>
      <c r="R466" s="12" t="str">
        <f t="shared" si="94"/>
        <v>25v</v>
      </c>
      <c r="S466" s="8" t="str">
        <f t="shared" si="87"/>
        <v>47µF 25v - R06.3-11.0 Jamicon (SK)</v>
      </c>
      <c r="T466" s="8">
        <f t="shared" si="95"/>
        <v>1</v>
      </c>
      <c r="U466" s="8" t="b">
        <f>NOT(ISNA(MATCH($P466,Packages!$A:$A,0)))</f>
        <v>1</v>
      </c>
    </row>
    <row r="467" spans="1:21" hidden="1">
      <c r="A467" s="6" t="s">
        <v>47</v>
      </c>
      <c r="B467" s="6" t="s">
        <v>48</v>
      </c>
      <c r="C467" s="33">
        <v>100</v>
      </c>
      <c r="D467" s="34">
        <v>25</v>
      </c>
      <c r="E467" s="6" t="s">
        <v>69</v>
      </c>
      <c r="F467" s="6" t="s">
        <v>59</v>
      </c>
      <c r="G467" s="6"/>
      <c r="H467" s="7" t="s">
        <v>141</v>
      </c>
      <c r="I467" s="7"/>
      <c r="J467" s="7" t="str">
        <f t="shared" si="88"/>
        <v>JAMICON</v>
      </c>
      <c r="K467" s="7" t="str">
        <f t="shared" si="89"/>
        <v>100µF 25v</v>
      </c>
      <c r="L467" s="7" t="str">
        <f t="shared" si="85"/>
        <v>SK</v>
      </c>
      <c r="M467" s="31">
        <f t="shared" si="90"/>
        <v>6.3</v>
      </c>
      <c r="N467" s="31">
        <f t="shared" si="91"/>
        <v>11</v>
      </c>
      <c r="O467" s="8" t="str">
        <f t="shared" si="92"/>
        <v>Jamicon-SK</v>
      </c>
      <c r="P467" s="12" t="str">
        <f t="shared" si="86"/>
        <v>Jamicon R-06.0x11.0</v>
      </c>
      <c r="Q467" s="12" t="str">
        <f t="shared" si="93"/>
        <v>100µF</v>
      </c>
      <c r="R467" s="12" t="str">
        <f t="shared" si="94"/>
        <v>25v</v>
      </c>
      <c r="S467" s="8" t="str">
        <f t="shared" si="87"/>
        <v>100µF 25v - R06.3-11.0 Jamicon (SK)</v>
      </c>
      <c r="T467" s="8">
        <f t="shared" si="95"/>
        <v>1</v>
      </c>
      <c r="U467" s="8" t="b">
        <f>NOT(ISNA(MATCH($P467,Packages!$A:$A,0)))</f>
        <v>1</v>
      </c>
    </row>
    <row r="468" spans="1:21" hidden="1">
      <c r="A468" s="6" t="s">
        <v>47</v>
      </c>
      <c r="B468" s="6" t="s">
        <v>48</v>
      </c>
      <c r="C468" s="33">
        <v>100</v>
      </c>
      <c r="D468" s="34">
        <v>25</v>
      </c>
      <c r="E468" s="6" t="s">
        <v>108</v>
      </c>
      <c r="F468" s="6" t="s">
        <v>59</v>
      </c>
      <c r="G468" s="6"/>
      <c r="H468" s="7" t="s">
        <v>141</v>
      </c>
      <c r="I468" s="7"/>
      <c r="J468" s="7" t="str">
        <f t="shared" si="88"/>
        <v>JAMICON</v>
      </c>
      <c r="K468" s="7" t="str">
        <f t="shared" si="89"/>
        <v>100µF 25v</v>
      </c>
      <c r="L468" s="7" t="str">
        <f t="shared" si="85"/>
        <v>SK</v>
      </c>
      <c r="M468" s="31">
        <f t="shared" si="90"/>
        <v>8</v>
      </c>
      <c r="N468" s="31">
        <f t="shared" si="91"/>
        <v>11.5</v>
      </c>
      <c r="O468" s="8" t="str">
        <f t="shared" si="92"/>
        <v>Jamicon-SK</v>
      </c>
      <c r="P468" s="12" t="str">
        <f t="shared" si="86"/>
        <v>Jamicon R-08.0x12.0</v>
      </c>
      <c r="Q468" s="12" t="str">
        <f t="shared" si="93"/>
        <v>100µF</v>
      </c>
      <c r="R468" s="12" t="str">
        <f t="shared" si="94"/>
        <v>25v</v>
      </c>
      <c r="S468" s="8" t="str">
        <f t="shared" si="87"/>
        <v>100µF 25v - R08.0-11.5 Jamicon (SK)</v>
      </c>
      <c r="T468" s="8">
        <f t="shared" si="95"/>
        <v>1</v>
      </c>
      <c r="U468" s="8" t="b">
        <f>NOT(ISNA(MATCH($P468,Packages!$A:$A,0)))</f>
        <v>1</v>
      </c>
    </row>
    <row r="469" spans="1:21" hidden="1">
      <c r="A469" s="6" t="s">
        <v>47</v>
      </c>
      <c r="B469" s="6" t="s">
        <v>48</v>
      </c>
      <c r="C469" s="33">
        <v>220</v>
      </c>
      <c r="D469" s="34">
        <v>25</v>
      </c>
      <c r="E469" s="6" t="s">
        <v>108</v>
      </c>
      <c r="F469" s="6" t="s">
        <v>59</v>
      </c>
      <c r="G469" s="6"/>
      <c r="H469" s="7" t="s">
        <v>141</v>
      </c>
      <c r="I469" s="7"/>
      <c r="J469" s="7" t="str">
        <f t="shared" si="88"/>
        <v>JAMICON</v>
      </c>
      <c r="K469" s="7" t="str">
        <f t="shared" si="89"/>
        <v>220µF 25v</v>
      </c>
      <c r="L469" s="7" t="str">
        <f t="shared" si="85"/>
        <v>SK</v>
      </c>
      <c r="M469" s="31">
        <f t="shared" si="90"/>
        <v>8</v>
      </c>
      <c r="N469" s="31">
        <f t="shared" si="91"/>
        <v>11.5</v>
      </c>
      <c r="O469" s="8" t="str">
        <f t="shared" si="92"/>
        <v>Jamicon-SK</v>
      </c>
      <c r="P469" s="12" t="str">
        <f t="shared" si="86"/>
        <v>Jamicon R-08.0x12.0</v>
      </c>
      <c r="Q469" s="12" t="str">
        <f t="shared" si="93"/>
        <v>220µF</v>
      </c>
      <c r="R469" s="12" t="str">
        <f t="shared" si="94"/>
        <v>25v</v>
      </c>
      <c r="S469" s="8" t="str">
        <f t="shared" si="87"/>
        <v>220µF 25v - R08.0-11.5 Jamicon (SK)</v>
      </c>
      <c r="T469" s="8">
        <f t="shared" si="95"/>
        <v>1</v>
      </c>
      <c r="U469" s="8" t="b">
        <f>NOT(ISNA(MATCH($P469,Packages!$A:$A,0)))</f>
        <v>1</v>
      </c>
    </row>
    <row r="470" spans="1:21" hidden="1">
      <c r="A470" s="6" t="s">
        <v>47</v>
      </c>
      <c r="B470" s="6" t="s">
        <v>48</v>
      </c>
      <c r="C470" s="33">
        <v>220</v>
      </c>
      <c r="D470" s="34">
        <v>25</v>
      </c>
      <c r="E470" s="6" t="s">
        <v>92</v>
      </c>
      <c r="F470" s="6" t="s">
        <v>59</v>
      </c>
      <c r="G470" s="6"/>
      <c r="H470" s="7" t="s">
        <v>141</v>
      </c>
      <c r="I470" s="7"/>
      <c r="J470" s="7" t="str">
        <f t="shared" si="88"/>
        <v>JAMICON</v>
      </c>
      <c r="K470" s="7" t="str">
        <f t="shared" si="89"/>
        <v>220µF 25v</v>
      </c>
      <c r="L470" s="7" t="str">
        <f t="shared" si="85"/>
        <v>SK</v>
      </c>
      <c r="M470" s="31">
        <f t="shared" si="90"/>
        <v>10</v>
      </c>
      <c r="N470" s="31">
        <f t="shared" si="91"/>
        <v>12.5</v>
      </c>
      <c r="O470" s="8" t="str">
        <f t="shared" si="92"/>
        <v>Jamicon-SK</v>
      </c>
      <c r="P470" s="12" t="str">
        <f t="shared" si="86"/>
        <v>Jamicon R-10.0x13.0</v>
      </c>
      <c r="Q470" s="12" t="str">
        <f t="shared" si="93"/>
        <v>220µF</v>
      </c>
      <c r="R470" s="12" t="str">
        <f t="shared" si="94"/>
        <v>25v</v>
      </c>
      <c r="S470" s="8" t="str">
        <f t="shared" si="87"/>
        <v>220µF 25v - R10.0-12.5 Jamicon (SK)</v>
      </c>
      <c r="T470" s="8">
        <f t="shared" si="95"/>
        <v>1</v>
      </c>
      <c r="U470" s="8" t="b">
        <f>NOT(ISNA(MATCH($P470,Packages!$A:$A,0)))</f>
        <v>1</v>
      </c>
    </row>
    <row r="471" spans="1:21" hidden="1">
      <c r="A471" s="6" t="s">
        <v>47</v>
      </c>
      <c r="B471" s="6" t="s">
        <v>48</v>
      </c>
      <c r="C471" s="33">
        <v>330</v>
      </c>
      <c r="D471" s="34">
        <v>25</v>
      </c>
      <c r="E471" s="6" t="s">
        <v>108</v>
      </c>
      <c r="F471" s="6" t="s">
        <v>59</v>
      </c>
      <c r="G471" s="6"/>
      <c r="H471" s="7" t="s">
        <v>141</v>
      </c>
      <c r="I471" s="7"/>
      <c r="J471" s="7" t="str">
        <f t="shared" si="88"/>
        <v>JAMICON</v>
      </c>
      <c r="K471" s="7" t="str">
        <f t="shared" si="89"/>
        <v>330µF 25v</v>
      </c>
      <c r="L471" s="7" t="str">
        <f t="shared" si="85"/>
        <v>SK</v>
      </c>
      <c r="M471" s="31">
        <f t="shared" si="90"/>
        <v>8</v>
      </c>
      <c r="N471" s="31">
        <f t="shared" si="91"/>
        <v>11.5</v>
      </c>
      <c r="O471" s="8" t="str">
        <f t="shared" si="92"/>
        <v>Jamicon-SK</v>
      </c>
      <c r="P471" s="12" t="str">
        <f t="shared" si="86"/>
        <v>Jamicon R-08.0x12.0</v>
      </c>
      <c r="Q471" s="12" t="str">
        <f t="shared" si="93"/>
        <v>330µF</v>
      </c>
      <c r="R471" s="12" t="str">
        <f t="shared" si="94"/>
        <v>25v</v>
      </c>
      <c r="S471" s="8" t="str">
        <f t="shared" si="87"/>
        <v>330µF 25v - R08.0-11.5 Jamicon (SK)</v>
      </c>
      <c r="T471" s="8">
        <f t="shared" si="95"/>
        <v>1</v>
      </c>
      <c r="U471" s="8" t="b">
        <f>NOT(ISNA(MATCH($P471,Packages!$A:$A,0)))</f>
        <v>1</v>
      </c>
    </row>
    <row r="472" spans="1:21" hidden="1">
      <c r="A472" s="6" t="s">
        <v>47</v>
      </c>
      <c r="B472" s="6" t="s">
        <v>48</v>
      </c>
      <c r="C472" s="33">
        <v>330</v>
      </c>
      <c r="D472" s="34">
        <v>25</v>
      </c>
      <c r="E472" s="6" t="s">
        <v>92</v>
      </c>
      <c r="F472" s="6" t="s">
        <v>59</v>
      </c>
      <c r="G472" s="6"/>
      <c r="H472" s="7" t="s">
        <v>141</v>
      </c>
      <c r="I472" s="7"/>
      <c r="J472" s="7" t="str">
        <f t="shared" si="88"/>
        <v>JAMICON</v>
      </c>
      <c r="K472" s="7" t="str">
        <f t="shared" si="89"/>
        <v>330µF 25v</v>
      </c>
      <c r="L472" s="7" t="str">
        <f t="shared" ref="L472:L535" si="96">B472</f>
        <v>SK</v>
      </c>
      <c r="M472" s="31">
        <f t="shared" si="90"/>
        <v>10</v>
      </c>
      <c r="N472" s="31">
        <f t="shared" si="91"/>
        <v>12.5</v>
      </c>
      <c r="O472" s="8" t="str">
        <f t="shared" si="92"/>
        <v>Jamicon-SK</v>
      </c>
      <c r="P472" s="12" t="str">
        <f t="shared" si="86"/>
        <v>Jamicon R-10.0x13.0</v>
      </c>
      <c r="Q472" s="12" t="str">
        <f t="shared" si="93"/>
        <v>330µF</v>
      </c>
      <c r="R472" s="12" t="str">
        <f t="shared" si="94"/>
        <v>25v</v>
      </c>
      <c r="S472" s="8" t="str">
        <f t="shared" si="87"/>
        <v>330µF 25v - R10.0-12.5 Jamicon (SK)</v>
      </c>
      <c r="T472" s="8">
        <f t="shared" si="95"/>
        <v>1</v>
      </c>
      <c r="U472" s="8" t="b">
        <f>NOT(ISNA(MATCH($P472,Packages!$A:$A,0)))</f>
        <v>1</v>
      </c>
    </row>
    <row r="473" spans="1:21" hidden="1">
      <c r="A473" s="6" t="s">
        <v>47</v>
      </c>
      <c r="B473" s="6" t="s">
        <v>48</v>
      </c>
      <c r="C473" s="33">
        <v>470</v>
      </c>
      <c r="D473" s="34">
        <v>25</v>
      </c>
      <c r="E473" s="6" t="s">
        <v>92</v>
      </c>
      <c r="F473" s="6" t="s">
        <v>59</v>
      </c>
      <c r="G473" s="6"/>
      <c r="H473" s="7" t="s">
        <v>141</v>
      </c>
      <c r="I473" s="7"/>
      <c r="J473" s="7" t="str">
        <f t="shared" si="88"/>
        <v>JAMICON</v>
      </c>
      <c r="K473" s="7" t="str">
        <f t="shared" si="89"/>
        <v>470µF 25v</v>
      </c>
      <c r="L473" s="7" t="str">
        <f t="shared" si="96"/>
        <v>SK</v>
      </c>
      <c r="M473" s="31">
        <f t="shared" si="90"/>
        <v>10</v>
      </c>
      <c r="N473" s="31">
        <f t="shared" si="91"/>
        <v>12.5</v>
      </c>
      <c r="O473" s="8" t="str">
        <f t="shared" si="92"/>
        <v>Jamicon-SK</v>
      </c>
      <c r="P473" s="12" t="str">
        <f t="shared" si="86"/>
        <v>Jamicon R-10.0x13.0</v>
      </c>
      <c r="Q473" s="12" t="str">
        <f t="shared" si="93"/>
        <v>470µF</v>
      </c>
      <c r="R473" s="12" t="str">
        <f t="shared" si="94"/>
        <v>25v</v>
      </c>
      <c r="S473" s="8" t="str">
        <f t="shared" si="87"/>
        <v>470µF 25v - R10.0-12.5 Jamicon (SK)</v>
      </c>
      <c r="T473" s="8">
        <f t="shared" si="95"/>
        <v>1</v>
      </c>
      <c r="U473" s="8" t="b">
        <f>NOT(ISNA(MATCH($P473,Packages!$A:$A,0)))</f>
        <v>1</v>
      </c>
    </row>
    <row r="474" spans="1:21" hidden="1">
      <c r="A474" s="6" t="s">
        <v>47</v>
      </c>
      <c r="B474" s="6" t="s">
        <v>48</v>
      </c>
      <c r="C474" s="33">
        <v>470</v>
      </c>
      <c r="D474" s="34">
        <v>25</v>
      </c>
      <c r="E474" s="6" t="s">
        <v>74</v>
      </c>
      <c r="F474" s="6" t="s">
        <v>59</v>
      </c>
      <c r="G474" s="6"/>
      <c r="H474" s="7" t="s">
        <v>141</v>
      </c>
      <c r="I474" s="7"/>
      <c r="J474" s="7" t="str">
        <f t="shared" si="88"/>
        <v>JAMICON</v>
      </c>
      <c r="K474" s="7" t="str">
        <f t="shared" si="89"/>
        <v>470µF 25v</v>
      </c>
      <c r="L474" s="7" t="str">
        <f t="shared" si="96"/>
        <v>SK</v>
      </c>
      <c r="M474" s="31">
        <f t="shared" si="90"/>
        <v>10</v>
      </c>
      <c r="N474" s="31">
        <f t="shared" si="91"/>
        <v>16</v>
      </c>
      <c r="O474" s="8" t="str">
        <f t="shared" si="92"/>
        <v>Jamicon-SK</v>
      </c>
      <c r="P474" s="12" t="str">
        <f t="shared" si="86"/>
        <v>Jamicon R-10.0x16.0</v>
      </c>
      <c r="Q474" s="12" t="str">
        <f t="shared" si="93"/>
        <v>470µF</v>
      </c>
      <c r="R474" s="12" t="str">
        <f t="shared" si="94"/>
        <v>25v</v>
      </c>
      <c r="S474" s="8" t="str">
        <f t="shared" si="87"/>
        <v>470µF 25v - R10.0-16.0 Jamicon (SK)</v>
      </c>
      <c r="T474" s="8">
        <f t="shared" si="95"/>
        <v>1</v>
      </c>
      <c r="U474" s="8" t="b">
        <f>NOT(ISNA(MATCH($P474,Packages!$A:$A,0)))</f>
        <v>1</v>
      </c>
    </row>
    <row r="475" spans="1:21" hidden="1">
      <c r="A475" s="6" t="s">
        <v>47</v>
      </c>
      <c r="B475" s="6" t="s">
        <v>48</v>
      </c>
      <c r="C475" s="33">
        <v>1000</v>
      </c>
      <c r="D475" s="34">
        <v>25</v>
      </c>
      <c r="E475" s="6" t="s">
        <v>94</v>
      </c>
      <c r="F475" s="6" t="s">
        <v>59</v>
      </c>
      <c r="G475" s="6"/>
      <c r="H475" s="7" t="s">
        <v>141</v>
      </c>
      <c r="I475" s="7"/>
      <c r="J475" s="7" t="str">
        <f t="shared" si="88"/>
        <v>JAMICON</v>
      </c>
      <c r="K475" s="7" t="str">
        <f t="shared" si="89"/>
        <v>1000µF 25v</v>
      </c>
      <c r="L475" s="7" t="str">
        <f t="shared" si="96"/>
        <v>SK</v>
      </c>
      <c r="M475" s="31">
        <f t="shared" si="90"/>
        <v>10</v>
      </c>
      <c r="N475" s="31">
        <f t="shared" si="91"/>
        <v>20</v>
      </c>
      <c r="O475" s="8" t="str">
        <f t="shared" si="92"/>
        <v>Jamicon-SK</v>
      </c>
      <c r="P475" s="12" t="str">
        <f t="shared" si="86"/>
        <v>Jamicon R-10.0x20.0</v>
      </c>
      <c r="Q475" s="12" t="str">
        <f t="shared" si="93"/>
        <v>1000µF</v>
      </c>
      <c r="R475" s="12" t="str">
        <f t="shared" si="94"/>
        <v>25v</v>
      </c>
      <c r="S475" s="8" t="str">
        <f t="shared" si="87"/>
        <v>1000µF 25v - R10.0-20.0 Jamicon (SK)</v>
      </c>
      <c r="T475" s="8">
        <f t="shared" si="95"/>
        <v>1</v>
      </c>
      <c r="U475" s="8" t="b">
        <f>NOT(ISNA(MATCH($P475,Packages!$A:$A,0)))</f>
        <v>1</v>
      </c>
    </row>
    <row r="476" spans="1:21" hidden="1">
      <c r="A476" s="6" t="s">
        <v>47</v>
      </c>
      <c r="B476" s="6" t="s">
        <v>48</v>
      </c>
      <c r="C476" s="33">
        <v>1000</v>
      </c>
      <c r="D476" s="34">
        <v>25</v>
      </c>
      <c r="E476" s="6" t="s">
        <v>95</v>
      </c>
      <c r="F476" s="6" t="s">
        <v>59</v>
      </c>
      <c r="G476" s="6"/>
      <c r="H476" s="7" t="s">
        <v>141</v>
      </c>
      <c r="I476" s="7"/>
      <c r="J476" s="7" t="str">
        <f t="shared" si="88"/>
        <v>JAMICON</v>
      </c>
      <c r="K476" s="7" t="str">
        <f t="shared" si="89"/>
        <v>1000µF 25v</v>
      </c>
      <c r="L476" s="7" t="str">
        <f t="shared" si="96"/>
        <v>SK</v>
      </c>
      <c r="M476" s="31">
        <f t="shared" si="90"/>
        <v>12.5</v>
      </c>
      <c r="N476" s="31">
        <f t="shared" si="91"/>
        <v>20</v>
      </c>
      <c r="O476" s="8" t="str">
        <f t="shared" si="92"/>
        <v>Jamicon-SK</v>
      </c>
      <c r="P476" s="12" t="str">
        <f t="shared" si="86"/>
        <v>Jamicon R-13.0x20.0</v>
      </c>
      <c r="Q476" s="12" t="str">
        <f t="shared" si="93"/>
        <v>1000µF</v>
      </c>
      <c r="R476" s="12" t="str">
        <f t="shared" si="94"/>
        <v>25v</v>
      </c>
      <c r="S476" s="8" t="str">
        <f t="shared" si="87"/>
        <v>1000µF 25v - R12.5-20.0 Jamicon (SK)</v>
      </c>
      <c r="T476" s="8">
        <f t="shared" si="95"/>
        <v>1</v>
      </c>
      <c r="U476" s="8" t="b">
        <f>NOT(ISNA(MATCH($P476,Packages!$A:$A,0)))</f>
        <v>1</v>
      </c>
    </row>
    <row r="477" spans="1:21" hidden="1">
      <c r="A477" s="6" t="s">
        <v>47</v>
      </c>
      <c r="B477" s="6" t="s">
        <v>48</v>
      </c>
      <c r="C477" s="33">
        <v>2200</v>
      </c>
      <c r="D477" s="34">
        <v>25</v>
      </c>
      <c r="E477" s="6" t="s">
        <v>96</v>
      </c>
      <c r="F477" s="6" t="s">
        <v>59</v>
      </c>
      <c r="G477" s="6"/>
      <c r="H477" s="7" t="s">
        <v>141</v>
      </c>
      <c r="I477" s="7"/>
      <c r="J477" s="7" t="str">
        <f t="shared" si="88"/>
        <v>JAMICON</v>
      </c>
      <c r="K477" s="7" t="str">
        <f t="shared" si="89"/>
        <v>2200µF 25v</v>
      </c>
      <c r="L477" s="7" t="str">
        <f t="shared" si="96"/>
        <v>SK</v>
      </c>
      <c r="M477" s="31">
        <f t="shared" si="90"/>
        <v>12.5</v>
      </c>
      <c r="N477" s="31">
        <f t="shared" si="91"/>
        <v>25</v>
      </c>
      <c r="O477" s="8" t="str">
        <f t="shared" si="92"/>
        <v>Jamicon-SK</v>
      </c>
      <c r="P477" s="12" t="str">
        <f t="shared" si="86"/>
        <v>Jamicon R-13.0x25.0</v>
      </c>
      <c r="Q477" s="12" t="str">
        <f t="shared" si="93"/>
        <v>2200µF</v>
      </c>
      <c r="R477" s="12" t="str">
        <f t="shared" si="94"/>
        <v>25v</v>
      </c>
      <c r="S477" s="8" t="str">
        <f t="shared" si="87"/>
        <v>2200µF 25v - R12.5-25.0 Jamicon (SK)</v>
      </c>
      <c r="T477" s="8">
        <f t="shared" si="95"/>
        <v>1</v>
      </c>
      <c r="U477" s="8" t="b">
        <f>NOT(ISNA(MATCH($P477,Packages!$A:$A,0)))</f>
        <v>1</v>
      </c>
    </row>
    <row r="478" spans="1:21" hidden="1">
      <c r="A478" s="6" t="s">
        <v>47</v>
      </c>
      <c r="B478" s="6" t="s">
        <v>48</v>
      </c>
      <c r="C478" s="33">
        <v>2200</v>
      </c>
      <c r="D478" s="34">
        <v>25</v>
      </c>
      <c r="E478" s="6" t="s">
        <v>97</v>
      </c>
      <c r="F478" s="6" t="s">
        <v>59</v>
      </c>
      <c r="G478" s="6"/>
      <c r="H478" s="7" t="s">
        <v>141</v>
      </c>
      <c r="I478" s="7"/>
      <c r="J478" s="7" t="str">
        <f t="shared" si="88"/>
        <v>JAMICON</v>
      </c>
      <c r="K478" s="7" t="str">
        <f t="shared" si="89"/>
        <v>2200µF 25v</v>
      </c>
      <c r="L478" s="7" t="str">
        <f t="shared" si="96"/>
        <v>SK</v>
      </c>
      <c r="M478" s="31">
        <f t="shared" si="90"/>
        <v>16</v>
      </c>
      <c r="N478" s="31">
        <f t="shared" si="91"/>
        <v>25</v>
      </c>
      <c r="O478" s="8" t="str">
        <f t="shared" si="92"/>
        <v>Jamicon-SK</v>
      </c>
      <c r="P478" s="12" t="str">
        <f t="shared" si="86"/>
        <v>Jamicon R-16.0x25.0</v>
      </c>
      <c r="Q478" s="12" t="str">
        <f t="shared" si="93"/>
        <v>2200µF</v>
      </c>
      <c r="R478" s="12" t="str">
        <f t="shared" si="94"/>
        <v>25v</v>
      </c>
      <c r="S478" s="8" t="str">
        <f t="shared" si="87"/>
        <v>2200µF 25v - R16.0-25.0 Jamicon (SK)</v>
      </c>
      <c r="T478" s="8">
        <f t="shared" si="95"/>
        <v>1</v>
      </c>
      <c r="U478" s="8" t="b">
        <f>NOT(ISNA(MATCH($P478,Packages!$A:$A,0)))</f>
        <v>1</v>
      </c>
    </row>
    <row r="479" spans="1:21" hidden="1">
      <c r="A479" s="6" t="s">
        <v>47</v>
      </c>
      <c r="B479" s="6" t="s">
        <v>48</v>
      </c>
      <c r="C479" s="33">
        <v>3300</v>
      </c>
      <c r="D479" s="34">
        <v>25</v>
      </c>
      <c r="E479" s="6" t="s">
        <v>97</v>
      </c>
      <c r="F479" s="6" t="s">
        <v>59</v>
      </c>
      <c r="G479" s="6"/>
      <c r="H479" s="7" t="s">
        <v>141</v>
      </c>
      <c r="I479" s="7"/>
      <c r="J479" s="7" t="str">
        <f t="shared" si="88"/>
        <v>JAMICON</v>
      </c>
      <c r="K479" s="7" t="str">
        <f t="shared" si="89"/>
        <v>3300µF 25v</v>
      </c>
      <c r="L479" s="7" t="str">
        <f t="shared" si="96"/>
        <v>SK</v>
      </c>
      <c r="M479" s="31">
        <f t="shared" si="90"/>
        <v>16</v>
      </c>
      <c r="N479" s="31">
        <f t="shared" si="91"/>
        <v>25</v>
      </c>
      <c r="O479" s="8" t="str">
        <f t="shared" si="92"/>
        <v>Jamicon-SK</v>
      </c>
      <c r="P479" s="12" t="str">
        <f t="shared" si="86"/>
        <v>Jamicon R-16.0x25.0</v>
      </c>
      <c r="Q479" s="12" t="str">
        <f t="shared" si="93"/>
        <v>3300µF</v>
      </c>
      <c r="R479" s="12" t="str">
        <f t="shared" si="94"/>
        <v>25v</v>
      </c>
      <c r="S479" s="8" t="str">
        <f t="shared" si="87"/>
        <v>3300µF 25v - R16.0-25.0 Jamicon (SK)</v>
      </c>
      <c r="T479" s="8">
        <f t="shared" si="95"/>
        <v>1</v>
      </c>
      <c r="U479" s="8" t="b">
        <f>NOT(ISNA(MATCH($P479,Packages!$A:$A,0)))</f>
        <v>1</v>
      </c>
    </row>
    <row r="480" spans="1:21" hidden="1">
      <c r="A480" s="6" t="s">
        <v>47</v>
      </c>
      <c r="B480" s="6" t="s">
        <v>48</v>
      </c>
      <c r="C480" s="33">
        <v>3300</v>
      </c>
      <c r="D480" s="34">
        <v>25</v>
      </c>
      <c r="E480" s="6" t="s">
        <v>98</v>
      </c>
      <c r="F480" s="6" t="s">
        <v>59</v>
      </c>
      <c r="G480" s="6"/>
      <c r="H480" s="7" t="s">
        <v>141</v>
      </c>
      <c r="I480" s="7"/>
      <c r="J480" s="7" t="str">
        <f t="shared" si="88"/>
        <v>JAMICON</v>
      </c>
      <c r="K480" s="7" t="str">
        <f t="shared" si="89"/>
        <v>3300µF 25v</v>
      </c>
      <c r="L480" s="7" t="str">
        <f t="shared" si="96"/>
        <v>SK</v>
      </c>
      <c r="M480" s="31">
        <f t="shared" si="90"/>
        <v>16</v>
      </c>
      <c r="N480" s="31">
        <f t="shared" si="91"/>
        <v>31.5</v>
      </c>
      <c r="O480" s="8" t="str">
        <f t="shared" si="92"/>
        <v>Jamicon-SK</v>
      </c>
      <c r="P480" s="12" t="str">
        <f t="shared" si="86"/>
        <v>Jamicon R-16.0x32.0</v>
      </c>
      <c r="Q480" s="12" t="str">
        <f t="shared" si="93"/>
        <v>3300µF</v>
      </c>
      <c r="R480" s="12" t="str">
        <f t="shared" si="94"/>
        <v>25v</v>
      </c>
      <c r="S480" s="8" t="str">
        <f t="shared" si="87"/>
        <v>3300µF 25v - R16.0-31.5 Jamicon (SK)</v>
      </c>
      <c r="T480" s="8">
        <f t="shared" si="95"/>
        <v>1</v>
      </c>
      <c r="U480" s="8" t="b">
        <f>NOT(ISNA(MATCH($P480,Packages!$A:$A,0)))</f>
        <v>1</v>
      </c>
    </row>
    <row r="481" spans="1:21" hidden="1">
      <c r="A481" s="6" t="s">
        <v>47</v>
      </c>
      <c r="B481" s="6" t="s">
        <v>48</v>
      </c>
      <c r="C481" s="33">
        <v>4700</v>
      </c>
      <c r="D481" s="34">
        <v>25</v>
      </c>
      <c r="E481" s="6" t="s">
        <v>98</v>
      </c>
      <c r="F481" s="6" t="s">
        <v>59</v>
      </c>
      <c r="G481" s="6"/>
      <c r="H481" s="7" t="s">
        <v>141</v>
      </c>
      <c r="I481" s="7"/>
      <c r="J481" s="7" t="str">
        <f t="shared" si="88"/>
        <v>JAMICON</v>
      </c>
      <c r="K481" s="7" t="str">
        <f t="shared" si="89"/>
        <v>4700µF 25v</v>
      </c>
      <c r="L481" s="7" t="str">
        <f t="shared" si="96"/>
        <v>SK</v>
      </c>
      <c r="M481" s="31">
        <f t="shared" si="90"/>
        <v>16</v>
      </c>
      <c r="N481" s="31">
        <f t="shared" si="91"/>
        <v>31.5</v>
      </c>
      <c r="O481" s="8" t="str">
        <f t="shared" si="92"/>
        <v>Jamicon-SK</v>
      </c>
      <c r="P481" s="12" t="str">
        <f t="shared" si="86"/>
        <v>Jamicon R-16.0x32.0</v>
      </c>
      <c r="Q481" s="12" t="str">
        <f t="shared" si="93"/>
        <v>4700µF</v>
      </c>
      <c r="R481" s="12" t="str">
        <f t="shared" si="94"/>
        <v>25v</v>
      </c>
      <c r="S481" s="8" t="str">
        <f t="shared" si="87"/>
        <v>4700µF 25v - R16.0-31.5 Jamicon (SK)</v>
      </c>
      <c r="T481" s="8">
        <f t="shared" si="95"/>
        <v>1</v>
      </c>
      <c r="U481" s="8" t="b">
        <f>NOT(ISNA(MATCH($P481,Packages!$A:$A,0)))</f>
        <v>1</v>
      </c>
    </row>
    <row r="482" spans="1:21" hidden="1">
      <c r="A482" s="6" t="s">
        <v>47</v>
      </c>
      <c r="B482" s="6" t="s">
        <v>48</v>
      </c>
      <c r="C482" s="33">
        <v>4700</v>
      </c>
      <c r="D482" s="34">
        <v>25</v>
      </c>
      <c r="E482" s="6" t="s">
        <v>100</v>
      </c>
      <c r="F482" s="6" t="s">
        <v>59</v>
      </c>
      <c r="G482" s="6"/>
      <c r="H482" s="7" t="s">
        <v>141</v>
      </c>
      <c r="I482" s="7"/>
      <c r="J482" s="7" t="str">
        <f t="shared" si="88"/>
        <v>JAMICON</v>
      </c>
      <c r="K482" s="7" t="str">
        <f t="shared" si="89"/>
        <v>4700µF 25v</v>
      </c>
      <c r="L482" s="7" t="str">
        <f t="shared" si="96"/>
        <v>SK</v>
      </c>
      <c r="M482" s="31">
        <f t="shared" si="90"/>
        <v>18</v>
      </c>
      <c r="N482" s="31">
        <f t="shared" si="91"/>
        <v>35.5</v>
      </c>
      <c r="O482" s="8" t="str">
        <f t="shared" si="92"/>
        <v>Jamicon-SK</v>
      </c>
      <c r="P482" s="12" t="str">
        <f t="shared" si="86"/>
        <v>Jamicon R-18.0x36.0</v>
      </c>
      <c r="Q482" s="12" t="str">
        <f t="shared" si="93"/>
        <v>4700µF</v>
      </c>
      <c r="R482" s="12" t="str">
        <f t="shared" si="94"/>
        <v>25v</v>
      </c>
      <c r="S482" s="8" t="str">
        <f t="shared" si="87"/>
        <v>4700µF 25v - R18.0-35.5 Jamicon (SK)</v>
      </c>
      <c r="T482" s="8">
        <f t="shared" si="95"/>
        <v>1</v>
      </c>
      <c r="U482" s="8" t="b">
        <f>NOT(ISNA(MATCH($P482,Packages!$A:$A,0)))</f>
        <v>1</v>
      </c>
    </row>
    <row r="483" spans="1:21" hidden="1">
      <c r="A483" s="6" t="s">
        <v>47</v>
      </c>
      <c r="B483" s="6" t="s">
        <v>48</v>
      </c>
      <c r="C483" s="33">
        <v>6800</v>
      </c>
      <c r="D483" s="34">
        <v>25</v>
      </c>
      <c r="E483" s="6" t="s">
        <v>100</v>
      </c>
      <c r="F483" s="6" t="s">
        <v>59</v>
      </c>
      <c r="G483" s="6"/>
      <c r="H483" s="7" t="s">
        <v>141</v>
      </c>
      <c r="I483" s="7"/>
      <c r="J483" s="7" t="str">
        <f t="shared" si="88"/>
        <v>JAMICON</v>
      </c>
      <c r="K483" s="7" t="str">
        <f t="shared" si="89"/>
        <v>6800µF 25v</v>
      </c>
      <c r="L483" s="7" t="str">
        <f t="shared" si="96"/>
        <v>SK</v>
      </c>
      <c r="M483" s="31">
        <f t="shared" si="90"/>
        <v>18</v>
      </c>
      <c r="N483" s="31">
        <f t="shared" si="91"/>
        <v>35.5</v>
      </c>
      <c r="O483" s="8" t="str">
        <f t="shared" si="92"/>
        <v>Jamicon-SK</v>
      </c>
      <c r="P483" s="12" t="str">
        <f t="shared" si="86"/>
        <v>Jamicon R-18.0x36.0</v>
      </c>
      <c r="Q483" s="12" t="str">
        <f t="shared" si="93"/>
        <v>6800µF</v>
      </c>
      <c r="R483" s="12" t="str">
        <f t="shared" si="94"/>
        <v>25v</v>
      </c>
      <c r="S483" s="8" t="str">
        <f t="shared" si="87"/>
        <v>6800µF 25v - R18.0-35.5 Jamicon (SK)</v>
      </c>
      <c r="T483" s="8">
        <f t="shared" si="95"/>
        <v>1</v>
      </c>
      <c r="U483" s="8" t="b">
        <f>NOT(ISNA(MATCH($P483,Packages!$A:$A,0)))</f>
        <v>1</v>
      </c>
    </row>
    <row r="484" spans="1:21" hidden="1">
      <c r="A484" s="6" t="s">
        <v>47</v>
      </c>
      <c r="B484" s="6" t="s">
        <v>48</v>
      </c>
      <c r="C484" s="33">
        <v>6800</v>
      </c>
      <c r="D484" s="34">
        <v>25</v>
      </c>
      <c r="E484" s="6" t="s">
        <v>101</v>
      </c>
      <c r="F484" s="6" t="s">
        <v>59</v>
      </c>
      <c r="G484" s="6"/>
      <c r="H484" s="7" t="s">
        <v>141</v>
      </c>
      <c r="I484" s="7"/>
      <c r="J484" s="7" t="str">
        <f t="shared" si="88"/>
        <v>JAMICON</v>
      </c>
      <c r="K484" s="7" t="str">
        <f t="shared" si="89"/>
        <v>6800µF 25v</v>
      </c>
      <c r="L484" s="7" t="str">
        <f t="shared" si="96"/>
        <v>SK</v>
      </c>
      <c r="M484" s="31">
        <f t="shared" si="90"/>
        <v>18</v>
      </c>
      <c r="N484" s="31">
        <f t="shared" si="91"/>
        <v>40</v>
      </c>
      <c r="O484" s="8" t="str">
        <f t="shared" si="92"/>
        <v>Jamicon-SK</v>
      </c>
      <c r="P484" s="12" t="str">
        <f t="shared" si="86"/>
        <v>Jamicon R-18.0x40.0</v>
      </c>
      <c r="Q484" s="12" t="str">
        <f t="shared" si="93"/>
        <v>6800µF</v>
      </c>
      <c r="R484" s="12" t="str">
        <f t="shared" si="94"/>
        <v>25v</v>
      </c>
      <c r="S484" s="8" t="str">
        <f t="shared" si="87"/>
        <v>6800µF 25v - R18.0-40.0 Jamicon (SK)</v>
      </c>
      <c r="T484" s="8">
        <f t="shared" si="95"/>
        <v>1</v>
      </c>
      <c r="U484" s="8" t="b">
        <f>NOT(ISNA(MATCH($P484,Packages!$A:$A,0)))</f>
        <v>1</v>
      </c>
    </row>
    <row r="485" spans="1:21" hidden="1">
      <c r="A485" s="6" t="s">
        <v>47</v>
      </c>
      <c r="B485" s="6" t="s">
        <v>48</v>
      </c>
      <c r="C485" s="33">
        <v>8200</v>
      </c>
      <c r="D485" s="34">
        <v>25</v>
      </c>
      <c r="E485" s="6" t="s">
        <v>105</v>
      </c>
      <c r="F485" s="6" t="s">
        <v>59</v>
      </c>
      <c r="G485" s="6"/>
      <c r="H485" s="7" t="s">
        <v>141</v>
      </c>
      <c r="I485" s="7"/>
      <c r="J485" s="7" t="str">
        <f t="shared" si="88"/>
        <v>JAMICON</v>
      </c>
      <c r="K485" s="7" t="str">
        <f t="shared" si="89"/>
        <v>8200µF 25v</v>
      </c>
      <c r="L485" s="7" t="str">
        <f t="shared" si="96"/>
        <v>SK</v>
      </c>
      <c r="M485" s="31">
        <f t="shared" si="90"/>
        <v>22</v>
      </c>
      <c r="N485" s="31">
        <f t="shared" si="91"/>
        <v>45</v>
      </c>
      <c r="O485" s="8" t="str">
        <f t="shared" si="92"/>
        <v>Jamicon-SK</v>
      </c>
      <c r="P485" s="12" t="str">
        <f t="shared" si="86"/>
        <v>Jamicon R-22.0x45.0</v>
      </c>
      <c r="Q485" s="12" t="str">
        <f t="shared" si="93"/>
        <v>8200µF</v>
      </c>
      <c r="R485" s="12" t="str">
        <f t="shared" si="94"/>
        <v>25v</v>
      </c>
      <c r="S485" s="8" t="str">
        <f t="shared" si="87"/>
        <v>8200µF 25v - R22.0-45.0 Jamicon (SK)</v>
      </c>
      <c r="T485" s="8">
        <f t="shared" si="95"/>
        <v>1</v>
      </c>
      <c r="U485" s="8" t="b">
        <f>NOT(ISNA(MATCH($P485,Packages!$A:$A,0)))</f>
        <v>1</v>
      </c>
    </row>
    <row r="486" spans="1:21" hidden="1">
      <c r="A486" s="6" t="s">
        <v>47</v>
      </c>
      <c r="B486" s="6" t="s">
        <v>48</v>
      </c>
      <c r="C486" s="33">
        <v>10000</v>
      </c>
      <c r="D486" s="34">
        <v>25</v>
      </c>
      <c r="E486" s="6" t="s">
        <v>106</v>
      </c>
      <c r="F486" s="6" t="s">
        <v>59</v>
      </c>
      <c r="G486" s="6"/>
      <c r="H486" s="7" t="s">
        <v>141</v>
      </c>
      <c r="I486" s="7"/>
      <c r="J486" s="7" t="str">
        <f t="shared" si="88"/>
        <v>JAMICON</v>
      </c>
      <c r="K486" s="7" t="str">
        <f t="shared" si="89"/>
        <v>10000µF 25v</v>
      </c>
      <c r="L486" s="7" t="str">
        <f t="shared" si="96"/>
        <v>SK</v>
      </c>
      <c r="M486" s="31">
        <f t="shared" si="90"/>
        <v>22</v>
      </c>
      <c r="N486" s="31">
        <f t="shared" si="91"/>
        <v>50</v>
      </c>
      <c r="O486" s="8" t="str">
        <f t="shared" si="92"/>
        <v>Jamicon-SK</v>
      </c>
      <c r="P486" s="12" t="str">
        <f t="shared" si="86"/>
        <v>Jamicon R-22.0x50.0</v>
      </c>
      <c r="Q486" s="12" t="str">
        <f t="shared" si="93"/>
        <v>10000µF</v>
      </c>
      <c r="R486" s="12" t="str">
        <f t="shared" si="94"/>
        <v>25v</v>
      </c>
      <c r="S486" s="8" t="str">
        <f t="shared" si="87"/>
        <v>10000µF 25v - R22.0-50.0 Jamicon (SK)</v>
      </c>
      <c r="T486" s="8">
        <f t="shared" si="95"/>
        <v>1</v>
      </c>
      <c r="U486" s="8" t="b">
        <f>NOT(ISNA(MATCH($P486,Packages!$A:$A,0)))</f>
        <v>1</v>
      </c>
    </row>
    <row r="487" spans="1:21" hidden="1">
      <c r="A487" s="6" t="s">
        <v>47</v>
      </c>
      <c r="B487" s="6" t="s">
        <v>48</v>
      </c>
      <c r="C487" s="33">
        <v>15000</v>
      </c>
      <c r="D487" s="34">
        <v>25</v>
      </c>
      <c r="E487" s="6" t="s">
        <v>86</v>
      </c>
      <c r="F487" s="6" t="s">
        <v>59</v>
      </c>
      <c r="G487" s="6"/>
      <c r="H487" s="7" t="s">
        <v>141</v>
      </c>
      <c r="I487" s="7"/>
      <c r="J487" s="7" t="str">
        <f t="shared" si="88"/>
        <v>JAMICON</v>
      </c>
      <c r="K487" s="7" t="str">
        <f t="shared" si="89"/>
        <v>15000µF 25v</v>
      </c>
      <c r="L487" s="7" t="str">
        <f t="shared" si="96"/>
        <v>SK</v>
      </c>
      <c r="M487" s="31">
        <f t="shared" si="90"/>
        <v>25</v>
      </c>
      <c r="N487" s="31">
        <f t="shared" si="91"/>
        <v>50</v>
      </c>
      <c r="O487" s="8" t="str">
        <f t="shared" si="92"/>
        <v>Jamicon-SK</v>
      </c>
      <c r="P487" s="12" t="str">
        <f t="shared" si="86"/>
        <v>Jamicon R-25.0x50.0</v>
      </c>
      <c r="Q487" s="12" t="str">
        <f t="shared" si="93"/>
        <v>15000µF</v>
      </c>
      <c r="R487" s="12" t="str">
        <f t="shared" si="94"/>
        <v>25v</v>
      </c>
      <c r="S487" s="8" t="str">
        <f t="shared" si="87"/>
        <v>15000µF 25v - R25.0-50.0 Jamicon (SK)</v>
      </c>
      <c r="T487" s="8">
        <f t="shared" si="95"/>
        <v>1</v>
      </c>
      <c r="U487" s="8" t="b">
        <f>NOT(ISNA(MATCH($P487,Packages!$A:$A,0)))</f>
        <v>1</v>
      </c>
    </row>
    <row r="488" spans="1:21" hidden="1">
      <c r="A488" s="6" t="s">
        <v>47</v>
      </c>
      <c r="B488" s="6" t="s">
        <v>48</v>
      </c>
      <c r="C488" s="33">
        <v>10</v>
      </c>
      <c r="D488" s="34">
        <v>35</v>
      </c>
      <c r="E488" s="6" t="s">
        <v>68</v>
      </c>
      <c r="F488" s="6" t="s">
        <v>59</v>
      </c>
      <c r="G488" s="6"/>
      <c r="H488" s="7" t="s">
        <v>141</v>
      </c>
      <c r="I488" s="7"/>
      <c r="J488" s="7" t="str">
        <f t="shared" si="88"/>
        <v>JAMICON</v>
      </c>
      <c r="K488" s="7" t="str">
        <f t="shared" si="89"/>
        <v>10µF 35v</v>
      </c>
      <c r="L488" s="7" t="str">
        <f t="shared" si="96"/>
        <v>SK</v>
      </c>
      <c r="M488" s="31">
        <f t="shared" si="90"/>
        <v>5</v>
      </c>
      <c r="N488" s="31">
        <f t="shared" si="91"/>
        <v>11</v>
      </c>
      <c r="O488" s="8" t="str">
        <f t="shared" si="92"/>
        <v>Jamicon-SK</v>
      </c>
      <c r="P488" s="12" t="str">
        <f t="shared" si="86"/>
        <v>Jamicon R-05.0x11.0</v>
      </c>
      <c r="Q488" s="12" t="str">
        <f t="shared" si="93"/>
        <v>10µF</v>
      </c>
      <c r="R488" s="12" t="str">
        <f t="shared" si="94"/>
        <v>35v</v>
      </c>
      <c r="S488" s="8" t="str">
        <f t="shared" si="87"/>
        <v>10µF 35v - R05.0-11.0 Jamicon (SK)</v>
      </c>
      <c r="T488" s="8">
        <f t="shared" si="95"/>
        <v>1</v>
      </c>
      <c r="U488" s="8" t="b">
        <f>NOT(ISNA(MATCH($P488,Packages!$A:$A,0)))</f>
        <v>1</v>
      </c>
    </row>
    <row r="489" spans="1:21" hidden="1">
      <c r="A489" s="6" t="s">
        <v>47</v>
      </c>
      <c r="B489" s="6" t="s">
        <v>48</v>
      </c>
      <c r="C489" s="33">
        <v>22</v>
      </c>
      <c r="D489" s="34">
        <v>35</v>
      </c>
      <c r="E489" s="6" t="s">
        <v>68</v>
      </c>
      <c r="F489" s="6" t="s">
        <v>59</v>
      </c>
      <c r="G489" s="6"/>
      <c r="H489" s="7" t="s">
        <v>141</v>
      </c>
      <c r="I489" s="7"/>
      <c r="J489" s="7" t="str">
        <f t="shared" si="88"/>
        <v>JAMICON</v>
      </c>
      <c r="K489" s="7" t="str">
        <f t="shared" si="89"/>
        <v>22µF 35v</v>
      </c>
      <c r="L489" s="7" t="str">
        <f t="shared" si="96"/>
        <v>SK</v>
      </c>
      <c r="M489" s="31">
        <f t="shared" si="90"/>
        <v>5</v>
      </c>
      <c r="N489" s="31">
        <f t="shared" si="91"/>
        <v>11</v>
      </c>
      <c r="O489" s="8" t="str">
        <f t="shared" si="92"/>
        <v>Jamicon-SK</v>
      </c>
      <c r="P489" s="12" t="str">
        <f t="shared" si="86"/>
        <v>Jamicon R-05.0x11.0</v>
      </c>
      <c r="Q489" s="12" t="str">
        <f t="shared" si="93"/>
        <v>22µF</v>
      </c>
      <c r="R489" s="12" t="str">
        <f t="shared" si="94"/>
        <v>35v</v>
      </c>
      <c r="S489" s="8" t="str">
        <f t="shared" si="87"/>
        <v>22µF 35v - R05.0-11.0 Jamicon (SK)</v>
      </c>
      <c r="T489" s="8">
        <f t="shared" si="95"/>
        <v>1</v>
      </c>
      <c r="U489" s="8" t="b">
        <f>NOT(ISNA(MATCH($P489,Packages!$A:$A,0)))</f>
        <v>1</v>
      </c>
    </row>
    <row r="490" spans="1:21" hidden="1">
      <c r="A490" s="6" t="s">
        <v>47</v>
      </c>
      <c r="B490" s="6" t="s">
        <v>48</v>
      </c>
      <c r="C490" s="33">
        <v>33</v>
      </c>
      <c r="D490" s="34">
        <v>35</v>
      </c>
      <c r="E490" s="6" t="s">
        <v>68</v>
      </c>
      <c r="F490" s="6" t="s">
        <v>59</v>
      </c>
      <c r="G490" s="6"/>
      <c r="H490" s="7" t="s">
        <v>141</v>
      </c>
      <c r="I490" s="7"/>
      <c r="J490" s="7" t="str">
        <f t="shared" si="88"/>
        <v>JAMICON</v>
      </c>
      <c r="K490" s="7" t="str">
        <f t="shared" si="89"/>
        <v>33µF 35v</v>
      </c>
      <c r="L490" s="7" t="str">
        <f t="shared" si="96"/>
        <v>SK</v>
      </c>
      <c r="M490" s="31">
        <f t="shared" si="90"/>
        <v>5</v>
      </c>
      <c r="N490" s="31">
        <f t="shared" si="91"/>
        <v>11</v>
      </c>
      <c r="O490" s="8" t="str">
        <f t="shared" si="92"/>
        <v>Jamicon-SK</v>
      </c>
      <c r="P490" s="12" t="str">
        <f t="shared" si="86"/>
        <v>Jamicon R-05.0x11.0</v>
      </c>
      <c r="Q490" s="12" t="str">
        <f t="shared" si="93"/>
        <v>33µF</v>
      </c>
      <c r="R490" s="12" t="str">
        <f t="shared" si="94"/>
        <v>35v</v>
      </c>
      <c r="S490" s="8" t="str">
        <f t="shared" si="87"/>
        <v>33µF 35v - R05.0-11.0 Jamicon (SK)</v>
      </c>
      <c r="T490" s="8">
        <f t="shared" si="95"/>
        <v>1</v>
      </c>
      <c r="U490" s="8" t="b">
        <f>NOT(ISNA(MATCH($P490,Packages!$A:$A,0)))</f>
        <v>1</v>
      </c>
    </row>
    <row r="491" spans="1:21" hidden="1">
      <c r="A491" s="6" t="s">
        <v>47</v>
      </c>
      <c r="B491" s="6" t="s">
        <v>48</v>
      </c>
      <c r="C491" s="33">
        <v>33</v>
      </c>
      <c r="D491" s="34">
        <v>35</v>
      </c>
      <c r="E491" s="6" t="s">
        <v>69</v>
      </c>
      <c r="F491" s="6" t="s">
        <v>59</v>
      </c>
      <c r="G491" s="6"/>
      <c r="H491" s="7" t="s">
        <v>141</v>
      </c>
      <c r="I491" s="7"/>
      <c r="J491" s="7" t="str">
        <f t="shared" si="88"/>
        <v>JAMICON</v>
      </c>
      <c r="K491" s="7" t="str">
        <f t="shared" si="89"/>
        <v>33µF 35v</v>
      </c>
      <c r="L491" s="7" t="str">
        <f t="shared" si="96"/>
        <v>SK</v>
      </c>
      <c r="M491" s="31">
        <f t="shared" si="90"/>
        <v>6.3</v>
      </c>
      <c r="N491" s="31">
        <f t="shared" si="91"/>
        <v>11</v>
      </c>
      <c r="O491" s="8" t="str">
        <f t="shared" si="92"/>
        <v>Jamicon-SK</v>
      </c>
      <c r="P491" s="12" t="str">
        <f t="shared" si="86"/>
        <v>Jamicon R-06.0x11.0</v>
      </c>
      <c r="Q491" s="12" t="str">
        <f t="shared" si="93"/>
        <v>33µF</v>
      </c>
      <c r="R491" s="12" t="str">
        <f t="shared" si="94"/>
        <v>35v</v>
      </c>
      <c r="S491" s="8" t="str">
        <f t="shared" si="87"/>
        <v>33µF 35v - R06.3-11.0 Jamicon (SK)</v>
      </c>
      <c r="T491" s="8">
        <f t="shared" si="95"/>
        <v>1</v>
      </c>
      <c r="U491" s="8" t="b">
        <f>NOT(ISNA(MATCH($P491,Packages!$A:$A,0)))</f>
        <v>1</v>
      </c>
    </row>
    <row r="492" spans="1:21" hidden="1">
      <c r="A492" s="6" t="s">
        <v>47</v>
      </c>
      <c r="B492" s="6" t="s">
        <v>48</v>
      </c>
      <c r="C492" s="33">
        <v>47</v>
      </c>
      <c r="D492" s="34">
        <v>35</v>
      </c>
      <c r="E492" s="6" t="s">
        <v>68</v>
      </c>
      <c r="F492" s="6" t="s">
        <v>59</v>
      </c>
      <c r="G492" s="6"/>
      <c r="H492" s="7" t="s">
        <v>141</v>
      </c>
      <c r="I492" s="7"/>
      <c r="J492" s="7" t="str">
        <f t="shared" ref="J492:J516" si="97">UPPER($A492)</f>
        <v>JAMICON</v>
      </c>
      <c r="K492" s="7" t="str">
        <f t="shared" si="89"/>
        <v>47µF 35v</v>
      </c>
      <c r="L492" s="7" t="str">
        <f t="shared" si="96"/>
        <v>SK</v>
      </c>
      <c r="M492" s="31">
        <f t="shared" si="90"/>
        <v>5</v>
      </c>
      <c r="N492" s="31">
        <f t="shared" si="91"/>
        <v>11</v>
      </c>
      <c r="O492" s="8" t="str">
        <f t="shared" si="92"/>
        <v>Jamicon-SK</v>
      </c>
      <c r="P492" s="12" t="str">
        <f t="shared" si="86"/>
        <v>Jamicon R-05.0x11.0</v>
      </c>
      <c r="Q492" s="12" t="str">
        <f t="shared" si="93"/>
        <v>47µF</v>
      </c>
      <c r="R492" s="12" t="str">
        <f t="shared" si="94"/>
        <v>35v</v>
      </c>
      <c r="S492" s="8" t="str">
        <f t="shared" si="87"/>
        <v>47µF 35v - R05.0-11.0 Jamicon (SK)</v>
      </c>
      <c r="T492" s="8">
        <f t="shared" si="95"/>
        <v>1</v>
      </c>
      <c r="U492" s="8" t="b">
        <f>NOT(ISNA(MATCH($P492,Packages!$A:$A,0)))</f>
        <v>1</v>
      </c>
    </row>
    <row r="493" spans="1:21" hidden="1">
      <c r="A493" s="6" t="s">
        <v>47</v>
      </c>
      <c r="B493" s="6" t="s">
        <v>48</v>
      </c>
      <c r="C493" s="33">
        <v>47</v>
      </c>
      <c r="D493" s="34">
        <v>35</v>
      </c>
      <c r="E493" s="6" t="s">
        <v>69</v>
      </c>
      <c r="F493" s="6" t="s">
        <v>59</v>
      </c>
      <c r="G493" s="6"/>
      <c r="H493" s="7" t="s">
        <v>141</v>
      </c>
      <c r="I493" s="7"/>
      <c r="J493" s="7" t="str">
        <f t="shared" si="97"/>
        <v>JAMICON</v>
      </c>
      <c r="K493" s="7" t="str">
        <f t="shared" si="89"/>
        <v>47µF 35v</v>
      </c>
      <c r="L493" s="7" t="str">
        <f t="shared" si="96"/>
        <v>SK</v>
      </c>
      <c r="M493" s="31">
        <f t="shared" si="90"/>
        <v>6.3</v>
      </c>
      <c r="N493" s="31">
        <f t="shared" si="91"/>
        <v>11</v>
      </c>
      <c r="O493" s="8" t="str">
        <f t="shared" si="92"/>
        <v>Jamicon-SK</v>
      </c>
      <c r="P493" s="12" t="str">
        <f t="shared" si="86"/>
        <v>Jamicon R-06.0x11.0</v>
      </c>
      <c r="Q493" s="12" t="str">
        <f t="shared" si="93"/>
        <v>47µF</v>
      </c>
      <c r="R493" s="12" t="str">
        <f t="shared" si="94"/>
        <v>35v</v>
      </c>
      <c r="S493" s="8" t="str">
        <f t="shared" si="87"/>
        <v>47µF 35v - R06.3-11.0 Jamicon (SK)</v>
      </c>
      <c r="T493" s="8">
        <f t="shared" si="95"/>
        <v>1</v>
      </c>
      <c r="U493" s="8" t="b">
        <f>NOT(ISNA(MATCH($P493,Packages!$A:$A,0)))</f>
        <v>1</v>
      </c>
    </row>
    <row r="494" spans="1:21" hidden="1">
      <c r="A494" s="6" t="s">
        <v>47</v>
      </c>
      <c r="B494" s="6" t="s">
        <v>48</v>
      </c>
      <c r="C494" s="33">
        <v>100</v>
      </c>
      <c r="D494" s="34">
        <v>35</v>
      </c>
      <c r="E494" s="6" t="s">
        <v>69</v>
      </c>
      <c r="F494" s="6" t="s">
        <v>59</v>
      </c>
      <c r="G494" s="6"/>
      <c r="H494" s="7" t="s">
        <v>141</v>
      </c>
      <c r="I494" s="7"/>
      <c r="J494" s="7" t="str">
        <f t="shared" si="97"/>
        <v>JAMICON</v>
      </c>
      <c r="K494" s="7" t="str">
        <f t="shared" si="89"/>
        <v>100µF 35v</v>
      </c>
      <c r="L494" s="7" t="str">
        <f t="shared" si="96"/>
        <v>SK</v>
      </c>
      <c r="M494" s="31">
        <f t="shared" si="90"/>
        <v>6.3</v>
      </c>
      <c r="N494" s="31">
        <f t="shared" si="91"/>
        <v>11</v>
      </c>
      <c r="O494" s="8" t="str">
        <f t="shared" si="92"/>
        <v>Jamicon-SK</v>
      </c>
      <c r="P494" s="12" t="str">
        <f t="shared" si="86"/>
        <v>Jamicon R-06.0x11.0</v>
      </c>
      <c r="Q494" s="12" t="str">
        <f t="shared" si="93"/>
        <v>100µF</v>
      </c>
      <c r="R494" s="12" t="str">
        <f t="shared" si="94"/>
        <v>35v</v>
      </c>
      <c r="S494" s="8" t="str">
        <f t="shared" si="87"/>
        <v>100µF 35v - R06.3-11.0 Jamicon (SK)</v>
      </c>
      <c r="T494" s="8">
        <f t="shared" si="95"/>
        <v>1</v>
      </c>
      <c r="U494" s="8" t="b">
        <f>NOT(ISNA(MATCH($P494,Packages!$A:$A,0)))</f>
        <v>1</v>
      </c>
    </row>
    <row r="495" spans="1:21" hidden="1">
      <c r="A495" s="6" t="s">
        <v>47</v>
      </c>
      <c r="B495" s="6" t="s">
        <v>48</v>
      </c>
      <c r="C495" s="33">
        <v>100</v>
      </c>
      <c r="D495" s="34">
        <v>35</v>
      </c>
      <c r="E495" s="6" t="s">
        <v>108</v>
      </c>
      <c r="F495" s="6" t="s">
        <v>59</v>
      </c>
      <c r="G495" s="6"/>
      <c r="H495" s="7" t="s">
        <v>141</v>
      </c>
      <c r="I495" s="7"/>
      <c r="J495" s="7" t="str">
        <f t="shared" si="97"/>
        <v>JAMICON</v>
      </c>
      <c r="K495" s="7" t="str">
        <f t="shared" si="89"/>
        <v>100µF 35v</v>
      </c>
      <c r="L495" s="7" t="str">
        <f t="shared" si="96"/>
        <v>SK</v>
      </c>
      <c r="M495" s="31">
        <f t="shared" si="90"/>
        <v>8</v>
      </c>
      <c r="N495" s="31">
        <f t="shared" si="91"/>
        <v>11.5</v>
      </c>
      <c r="O495" s="8" t="str">
        <f t="shared" si="92"/>
        <v>Jamicon-SK</v>
      </c>
      <c r="P495" s="12" t="str">
        <f t="shared" si="86"/>
        <v>Jamicon R-08.0x12.0</v>
      </c>
      <c r="Q495" s="12" t="str">
        <f t="shared" si="93"/>
        <v>100µF</v>
      </c>
      <c r="R495" s="12" t="str">
        <f t="shared" si="94"/>
        <v>35v</v>
      </c>
      <c r="S495" s="8" t="str">
        <f t="shared" si="87"/>
        <v>100µF 35v - R08.0-11.5 Jamicon (SK)</v>
      </c>
      <c r="T495" s="8">
        <f t="shared" si="95"/>
        <v>1</v>
      </c>
      <c r="U495" s="8" t="b">
        <f>NOT(ISNA(MATCH($P495,Packages!$A:$A,0)))</f>
        <v>1</v>
      </c>
    </row>
    <row r="496" spans="1:21" hidden="1">
      <c r="A496" s="6" t="s">
        <v>47</v>
      </c>
      <c r="B496" s="6" t="s">
        <v>48</v>
      </c>
      <c r="C496" s="33">
        <v>220</v>
      </c>
      <c r="D496" s="34">
        <v>35</v>
      </c>
      <c r="E496" s="6" t="s">
        <v>108</v>
      </c>
      <c r="F496" s="6" t="s">
        <v>59</v>
      </c>
      <c r="G496" s="6"/>
      <c r="H496" s="7" t="s">
        <v>141</v>
      </c>
      <c r="I496" s="7"/>
      <c r="J496" s="7" t="str">
        <f t="shared" si="97"/>
        <v>JAMICON</v>
      </c>
      <c r="K496" s="7" t="str">
        <f t="shared" si="89"/>
        <v>220µF 35v</v>
      </c>
      <c r="L496" s="7" t="str">
        <f t="shared" si="96"/>
        <v>SK</v>
      </c>
      <c r="M496" s="31">
        <f t="shared" si="90"/>
        <v>8</v>
      </c>
      <c r="N496" s="31">
        <f t="shared" si="91"/>
        <v>11.5</v>
      </c>
      <c r="O496" s="8" t="str">
        <f t="shared" si="92"/>
        <v>Jamicon-SK</v>
      </c>
      <c r="P496" s="12" t="str">
        <f t="shared" si="86"/>
        <v>Jamicon R-08.0x12.0</v>
      </c>
      <c r="Q496" s="12" t="str">
        <f t="shared" si="93"/>
        <v>220µF</v>
      </c>
      <c r="R496" s="12" t="str">
        <f t="shared" si="94"/>
        <v>35v</v>
      </c>
      <c r="S496" s="8" t="str">
        <f t="shared" si="87"/>
        <v>220µF 35v - R08.0-11.5 Jamicon (SK)</v>
      </c>
      <c r="T496" s="8">
        <f t="shared" si="95"/>
        <v>1</v>
      </c>
      <c r="U496" s="8" t="b">
        <f>NOT(ISNA(MATCH($P496,Packages!$A:$A,0)))</f>
        <v>1</v>
      </c>
    </row>
    <row r="497" spans="1:21" hidden="1">
      <c r="A497" s="6" t="s">
        <v>47</v>
      </c>
      <c r="B497" s="6" t="s">
        <v>48</v>
      </c>
      <c r="C497" s="33">
        <v>220</v>
      </c>
      <c r="D497" s="34">
        <v>35</v>
      </c>
      <c r="E497" s="6" t="s">
        <v>92</v>
      </c>
      <c r="F497" s="6" t="s">
        <v>59</v>
      </c>
      <c r="G497" s="6"/>
      <c r="H497" s="7" t="s">
        <v>141</v>
      </c>
      <c r="I497" s="7"/>
      <c r="J497" s="7" t="str">
        <f t="shared" si="97"/>
        <v>JAMICON</v>
      </c>
      <c r="K497" s="7" t="str">
        <f t="shared" si="89"/>
        <v>220µF 35v</v>
      </c>
      <c r="L497" s="7" t="str">
        <f t="shared" si="96"/>
        <v>SK</v>
      </c>
      <c r="M497" s="31">
        <f t="shared" si="90"/>
        <v>10</v>
      </c>
      <c r="N497" s="31">
        <f t="shared" si="91"/>
        <v>12.5</v>
      </c>
      <c r="O497" s="8" t="str">
        <f t="shared" si="92"/>
        <v>Jamicon-SK</v>
      </c>
      <c r="P497" s="12" t="str">
        <f t="shared" si="86"/>
        <v>Jamicon R-10.0x13.0</v>
      </c>
      <c r="Q497" s="12" t="str">
        <f t="shared" si="93"/>
        <v>220µF</v>
      </c>
      <c r="R497" s="12" t="str">
        <f t="shared" si="94"/>
        <v>35v</v>
      </c>
      <c r="S497" s="8" t="str">
        <f t="shared" si="87"/>
        <v>220µF 35v - R10.0-12.5 Jamicon (SK)</v>
      </c>
      <c r="T497" s="8">
        <f t="shared" si="95"/>
        <v>1</v>
      </c>
      <c r="U497" s="8" t="b">
        <f>NOT(ISNA(MATCH($P497,Packages!$A:$A,0)))</f>
        <v>1</v>
      </c>
    </row>
    <row r="498" spans="1:21" hidden="1">
      <c r="A498" s="6" t="s">
        <v>47</v>
      </c>
      <c r="B498" s="6" t="s">
        <v>48</v>
      </c>
      <c r="C498" s="33">
        <v>330</v>
      </c>
      <c r="D498" s="34">
        <v>35</v>
      </c>
      <c r="E498" s="6" t="s">
        <v>92</v>
      </c>
      <c r="F498" s="6" t="s">
        <v>59</v>
      </c>
      <c r="G498" s="6"/>
      <c r="H498" s="7" t="s">
        <v>141</v>
      </c>
      <c r="I498" s="7"/>
      <c r="J498" s="7" t="str">
        <f t="shared" si="97"/>
        <v>JAMICON</v>
      </c>
      <c r="K498" s="7" t="str">
        <f t="shared" si="89"/>
        <v>330µF 35v</v>
      </c>
      <c r="L498" s="7" t="str">
        <f t="shared" si="96"/>
        <v>SK</v>
      </c>
      <c r="M498" s="31">
        <f t="shared" si="90"/>
        <v>10</v>
      </c>
      <c r="N498" s="31">
        <f t="shared" si="91"/>
        <v>12.5</v>
      </c>
      <c r="O498" s="8" t="str">
        <f t="shared" si="92"/>
        <v>Jamicon-SK</v>
      </c>
      <c r="P498" s="12" t="str">
        <f t="shared" si="86"/>
        <v>Jamicon R-10.0x13.0</v>
      </c>
      <c r="Q498" s="12" t="str">
        <f t="shared" si="93"/>
        <v>330µF</v>
      </c>
      <c r="R498" s="12" t="str">
        <f t="shared" si="94"/>
        <v>35v</v>
      </c>
      <c r="S498" s="8" t="str">
        <f t="shared" si="87"/>
        <v>330µF 35v - R10.0-12.5 Jamicon (SK)</v>
      </c>
      <c r="T498" s="8">
        <f t="shared" si="95"/>
        <v>1</v>
      </c>
      <c r="U498" s="8" t="b">
        <f>NOT(ISNA(MATCH($P498,Packages!$A:$A,0)))</f>
        <v>1</v>
      </c>
    </row>
    <row r="499" spans="1:21" hidden="1">
      <c r="A499" s="6" t="s">
        <v>47</v>
      </c>
      <c r="B499" s="6" t="s">
        <v>48</v>
      </c>
      <c r="C499" s="33">
        <v>330</v>
      </c>
      <c r="D499" s="34">
        <v>35</v>
      </c>
      <c r="E499" s="6" t="s">
        <v>74</v>
      </c>
      <c r="F499" s="6" t="s">
        <v>59</v>
      </c>
      <c r="G499" s="6"/>
      <c r="H499" s="7" t="s">
        <v>141</v>
      </c>
      <c r="I499" s="7"/>
      <c r="J499" s="7" t="str">
        <f t="shared" si="97"/>
        <v>JAMICON</v>
      </c>
      <c r="K499" s="7" t="str">
        <f t="shared" si="89"/>
        <v>330µF 35v</v>
      </c>
      <c r="L499" s="7" t="str">
        <f t="shared" si="96"/>
        <v>SK</v>
      </c>
      <c r="M499" s="31">
        <f t="shared" si="90"/>
        <v>10</v>
      </c>
      <c r="N499" s="31">
        <f t="shared" si="91"/>
        <v>16</v>
      </c>
      <c r="O499" s="8" t="str">
        <f t="shared" si="92"/>
        <v>Jamicon-SK</v>
      </c>
      <c r="P499" s="12" t="str">
        <f t="shared" si="86"/>
        <v>Jamicon R-10.0x16.0</v>
      </c>
      <c r="Q499" s="12" t="str">
        <f t="shared" si="93"/>
        <v>330µF</v>
      </c>
      <c r="R499" s="12" t="str">
        <f t="shared" si="94"/>
        <v>35v</v>
      </c>
      <c r="S499" s="8" t="str">
        <f t="shared" si="87"/>
        <v>330µF 35v - R10.0-16.0 Jamicon (SK)</v>
      </c>
      <c r="T499" s="8">
        <f t="shared" si="95"/>
        <v>1</v>
      </c>
      <c r="U499" s="8" t="b">
        <f>NOT(ISNA(MATCH($P499,Packages!$A:$A,0)))</f>
        <v>1</v>
      </c>
    </row>
    <row r="500" spans="1:21" hidden="1">
      <c r="A500" s="6" t="s">
        <v>47</v>
      </c>
      <c r="B500" s="6" t="s">
        <v>48</v>
      </c>
      <c r="C500" s="33">
        <v>470</v>
      </c>
      <c r="D500" s="34">
        <v>35</v>
      </c>
      <c r="E500" s="6" t="s">
        <v>74</v>
      </c>
      <c r="F500" s="6" t="s">
        <v>59</v>
      </c>
      <c r="G500" s="6"/>
      <c r="H500" s="7" t="s">
        <v>141</v>
      </c>
      <c r="I500" s="7"/>
      <c r="J500" s="7" t="str">
        <f t="shared" si="97"/>
        <v>JAMICON</v>
      </c>
      <c r="K500" s="7" t="str">
        <f t="shared" si="89"/>
        <v>470µF 35v</v>
      </c>
      <c r="L500" s="7" t="str">
        <f t="shared" si="96"/>
        <v>SK</v>
      </c>
      <c r="M500" s="31">
        <f t="shared" si="90"/>
        <v>10</v>
      </c>
      <c r="N500" s="31">
        <f t="shared" si="91"/>
        <v>16</v>
      </c>
      <c r="O500" s="8" t="str">
        <f t="shared" si="92"/>
        <v>Jamicon-SK</v>
      </c>
      <c r="P500" s="12" t="str">
        <f t="shared" si="86"/>
        <v>Jamicon R-10.0x16.0</v>
      </c>
      <c r="Q500" s="12" t="str">
        <f t="shared" si="93"/>
        <v>470µF</v>
      </c>
      <c r="R500" s="12" t="str">
        <f t="shared" si="94"/>
        <v>35v</v>
      </c>
      <c r="S500" s="8" t="str">
        <f t="shared" si="87"/>
        <v>470µF 35v - R10.0-16.0 Jamicon (SK)</v>
      </c>
      <c r="T500" s="8">
        <f t="shared" si="95"/>
        <v>1</v>
      </c>
      <c r="U500" s="8" t="b">
        <f>NOT(ISNA(MATCH($P500,Packages!$A:$A,0)))</f>
        <v>1</v>
      </c>
    </row>
    <row r="501" spans="1:21" hidden="1">
      <c r="A501" s="6" t="s">
        <v>47</v>
      </c>
      <c r="B501" s="6" t="s">
        <v>48</v>
      </c>
      <c r="C501" s="33">
        <v>470</v>
      </c>
      <c r="D501" s="34">
        <v>35</v>
      </c>
      <c r="E501" s="6" t="s">
        <v>94</v>
      </c>
      <c r="F501" s="6" t="s">
        <v>59</v>
      </c>
      <c r="G501" s="6"/>
      <c r="H501" s="7" t="s">
        <v>141</v>
      </c>
      <c r="I501" s="7"/>
      <c r="J501" s="7" t="str">
        <f t="shared" si="97"/>
        <v>JAMICON</v>
      </c>
      <c r="K501" s="7" t="str">
        <f t="shared" si="89"/>
        <v>470µF 35v</v>
      </c>
      <c r="L501" s="7" t="str">
        <f t="shared" si="96"/>
        <v>SK</v>
      </c>
      <c r="M501" s="31">
        <f t="shared" si="90"/>
        <v>10</v>
      </c>
      <c r="N501" s="31">
        <f t="shared" si="91"/>
        <v>20</v>
      </c>
      <c r="O501" s="8" t="str">
        <f t="shared" si="92"/>
        <v>Jamicon-SK</v>
      </c>
      <c r="P501" s="12" t="str">
        <f t="shared" si="86"/>
        <v>Jamicon R-10.0x20.0</v>
      </c>
      <c r="Q501" s="12" t="str">
        <f t="shared" si="93"/>
        <v>470µF</v>
      </c>
      <c r="R501" s="12" t="str">
        <f t="shared" si="94"/>
        <v>35v</v>
      </c>
      <c r="S501" s="8" t="str">
        <f t="shared" si="87"/>
        <v>470µF 35v - R10.0-20.0 Jamicon (SK)</v>
      </c>
      <c r="T501" s="8">
        <f t="shared" si="95"/>
        <v>1</v>
      </c>
      <c r="U501" s="8" t="b">
        <f>NOT(ISNA(MATCH($P501,Packages!$A:$A,0)))</f>
        <v>1</v>
      </c>
    </row>
    <row r="502" spans="1:21" hidden="1">
      <c r="A502" s="6" t="s">
        <v>47</v>
      </c>
      <c r="B502" s="6" t="s">
        <v>48</v>
      </c>
      <c r="C502" s="33">
        <v>1000</v>
      </c>
      <c r="D502" s="34">
        <v>35</v>
      </c>
      <c r="E502" s="6" t="s">
        <v>95</v>
      </c>
      <c r="F502" s="6" t="s">
        <v>59</v>
      </c>
      <c r="G502" s="6"/>
      <c r="H502" s="7" t="s">
        <v>141</v>
      </c>
      <c r="I502" s="7"/>
      <c r="J502" s="7" t="str">
        <f t="shared" si="97"/>
        <v>JAMICON</v>
      </c>
      <c r="K502" s="7" t="str">
        <f t="shared" si="89"/>
        <v>1000µF 35v</v>
      </c>
      <c r="L502" s="7" t="str">
        <f t="shared" si="96"/>
        <v>SK</v>
      </c>
      <c r="M502" s="31">
        <f t="shared" si="90"/>
        <v>12.5</v>
      </c>
      <c r="N502" s="31">
        <f t="shared" si="91"/>
        <v>20</v>
      </c>
      <c r="O502" s="8" t="str">
        <f t="shared" si="92"/>
        <v>Jamicon-SK</v>
      </c>
      <c r="P502" s="12" t="str">
        <f t="shared" si="86"/>
        <v>Jamicon R-13.0x20.0</v>
      </c>
      <c r="Q502" s="12" t="str">
        <f t="shared" si="93"/>
        <v>1000µF</v>
      </c>
      <c r="R502" s="12" t="str">
        <f t="shared" si="94"/>
        <v>35v</v>
      </c>
      <c r="S502" s="8" t="str">
        <f t="shared" si="87"/>
        <v>1000µF 35v - R12.5-20.0 Jamicon (SK)</v>
      </c>
      <c r="T502" s="8">
        <f t="shared" si="95"/>
        <v>1</v>
      </c>
      <c r="U502" s="8" t="b">
        <f>NOT(ISNA(MATCH($P502,Packages!$A:$A,0)))</f>
        <v>1</v>
      </c>
    </row>
    <row r="503" spans="1:21" hidden="1">
      <c r="A503" s="6" t="s">
        <v>47</v>
      </c>
      <c r="B503" s="6" t="s">
        <v>48</v>
      </c>
      <c r="C503" s="33">
        <v>1000</v>
      </c>
      <c r="D503" s="34">
        <v>35</v>
      </c>
      <c r="E503" s="6" t="s">
        <v>96</v>
      </c>
      <c r="F503" s="6" t="s">
        <v>59</v>
      </c>
      <c r="G503" s="6"/>
      <c r="H503" s="7" t="s">
        <v>141</v>
      </c>
      <c r="I503" s="7"/>
      <c r="J503" s="7" t="str">
        <f t="shared" si="97"/>
        <v>JAMICON</v>
      </c>
      <c r="K503" s="7" t="str">
        <f t="shared" si="89"/>
        <v>1000µF 35v</v>
      </c>
      <c r="L503" s="7" t="str">
        <f t="shared" si="96"/>
        <v>SK</v>
      </c>
      <c r="M503" s="31">
        <f t="shared" si="90"/>
        <v>12.5</v>
      </c>
      <c r="N503" s="31">
        <f t="shared" si="91"/>
        <v>25</v>
      </c>
      <c r="O503" s="8" t="str">
        <f t="shared" si="92"/>
        <v>Jamicon-SK</v>
      </c>
      <c r="P503" s="12" t="str">
        <f t="shared" si="86"/>
        <v>Jamicon R-13.0x25.0</v>
      </c>
      <c r="Q503" s="12" t="str">
        <f t="shared" si="93"/>
        <v>1000µF</v>
      </c>
      <c r="R503" s="12" t="str">
        <f t="shared" si="94"/>
        <v>35v</v>
      </c>
      <c r="S503" s="8" t="str">
        <f t="shared" si="87"/>
        <v>1000µF 35v - R12.5-25.0 Jamicon (SK)</v>
      </c>
      <c r="T503" s="8">
        <f t="shared" si="95"/>
        <v>1</v>
      </c>
      <c r="U503" s="8" t="b">
        <f>NOT(ISNA(MATCH($P503,Packages!$A:$A,0)))</f>
        <v>1</v>
      </c>
    </row>
    <row r="504" spans="1:21" hidden="1">
      <c r="A504" s="6" t="s">
        <v>47</v>
      </c>
      <c r="B504" s="6" t="s">
        <v>48</v>
      </c>
      <c r="C504" s="33">
        <v>2200</v>
      </c>
      <c r="D504" s="34">
        <v>35</v>
      </c>
      <c r="E504" s="6" t="s">
        <v>97</v>
      </c>
      <c r="F504" s="6" t="s">
        <v>59</v>
      </c>
      <c r="G504" s="6"/>
      <c r="H504" s="7" t="s">
        <v>141</v>
      </c>
      <c r="I504" s="7"/>
      <c r="J504" s="7" t="str">
        <f t="shared" si="97"/>
        <v>JAMICON</v>
      </c>
      <c r="K504" s="7" t="str">
        <f t="shared" si="89"/>
        <v>2200µF 35v</v>
      </c>
      <c r="L504" s="7" t="str">
        <f t="shared" si="96"/>
        <v>SK</v>
      </c>
      <c r="M504" s="31">
        <f t="shared" si="90"/>
        <v>16</v>
      </c>
      <c r="N504" s="31">
        <f t="shared" si="91"/>
        <v>25</v>
      </c>
      <c r="O504" s="8" t="str">
        <f t="shared" si="92"/>
        <v>Jamicon-SK</v>
      </c>
      <c r="P504" s="12" t="str">
        <f t="shared" si="86"/>
        <v>Jamicon R-16.0x25.0</v>
      </c>
      <c r="Q504" s="12" t="str">
        <f t="shared" si="93"/>
        <v>2200µF</v>
      </c>
      <c r="R504" s="12" t="str">
        <f t="shared" si="94"/>
        <v>35v</v>
      </c>
      <c r="S504" s="8" t="str">
        <f t="shared" si="87"/>
        <v>2200µF 35v - R16.0-25.0 Jamicon (SK)</v>
      </c>
      <c r="T504" s="8">
        <f t="shared" si="95"/>
        <v>1</v>
      </c>
      <c r="U504" s="8" t="b">
        <f>NOT(ISNA(MATCH($P504,Packages!$A:$A,0)))</f>
        <v>1</v>
      </c>
    </row>
    <row r="505" spans="1:21" hidden="1">
      <c r="A505" s="6" t="s">
        <v>47</v>
      </c>
      <c r="B505" s="6" t="s">
        <v>48</v>
      </c>
      <c r="C505" s="33">
        <v>2200</v>
      </c>
      <c r="D505" s="34">
        <v>35</v>
      </c>
      <c r="E505" s="6" t="s">
        <v>98</v>
      </c>
      <c r="F505" s="6" t="s">
        <v>59</v>
      </c>
      <c r="G505" s="6"/>
      <c r="H505" s="7" t="s">
        <v>141</v>
      </c>
      <c r="I505" s="7"/>
      <c r="J505" s="7" t="str">
        <f t="shared" si="97"/>
        <v>JAMICON</v>
      </c>
      <c r="K505" s="7" t="str">
        <f t="shared" si="89"/>
        <v>2200µF 35v</v>
      </c>
      <c r="L505" s="7" t="str">
        <f t="shared" si="96"/>
        <v>SK</v>
      </c>
      <c r="M505" s="31">
        <f t="shared" si="90"/>
        <v>16</v>
      </c>
      <c r="N505" s="31">
        <f t="shared" si="91"/>
        <v>31.5</v>
      </c>
      <c r="O505" s="8" t="str">
        <f t="shared" si="92"/>
        <v>Jamicon-SK</v>
      </c>
      <c r="P505" s="12" t="str">
        <f t="shared" si="86"/>
        <v>Jamicon R-16.0x32.0</v>
      </c>
      <c r="Q505" s="12" t="str">
        <f t="shared" si="93"/>
        <v>2200µF</v>
      </c>
      <c r="R505" s="12" t="str">
        <f t="shared" si="94"/>
        <v>35v</v>
      </c>
      <c r="S505" s="8" t="str">
        <f t="shared" si="87"/>
        <v>2200µF 35v - R16.0-31.5 Jamicon (SK)</v>
      </c>
      <c r="T505" s="8">
        <f t="shared" si="95"/>
        <v>1</v>
      </c>
      <c r="U505" s="8" t="b">
        <f>NOT(ISNA(MATCH($P505,Packages!$A:$A,0)))</f>
        <v>1</v>
      </c>
    </row>
    <row r="506" spans="1:21" hidden="1">
      <c r="A506" s="6" t="s">
        <v>47</v>
      </c>
      <c r="B506" s="6" t="s">
        <v>48</v>
      </c>
      <c r="C506" s="33">
        <v>3300</v>
      </c>
      <c r="D506" s="34">
        <v>35</v>
      </c>
      <c r="E506" s="6" t="s">
        <v>99</v>
      </c>
      <c r="F506" s="6" t="s">
        <v>59</v>
      </c>
      <c r="G506" s="6"/>
      <c r="H506" s="7" t="s">
        <v>141</v>
      </c>
      <c r="I506" s="7"/>
      <c r="J506" s="7" t="str">
        <f t="shared" si="97"/>
        <v>JAMICON</v>
      </c>
      <c r="K506" s="7" t="str">
        <f t="shared" si="89"/>
        <v>3300µF 35v</v>
      </c>
      <c r="L506" s="7" t="str">
        <f t="shared" si="96"/>
        <v>SK</v>
      </c>
      <c r="M506" s="31">
        <f t="shared" si="90"/>
        <v>16</v>
      </c>
      <c r="N506" s="31">
        <f t="shared" si="91"/>
        <v>35.5</v>
      </c>
      <c r="O506" s="8" t="str">
        <f t="shared" si="92"/>
        <v>Jamicon-SK</v>
      </c>
      <c r="P506" s="12" t="str">
        <f t="shared" si="86"/>
        <v>Jamicon R-16.0x36.0</v>
      </c>
      <c r="Q506" s="12" t="str">
        <f t="shared" si="93"/>
        <v>3300µF</v>
      </c>
      <c r="R506" s="12" t="str">
        <f t="shared" si="94"/>
        <v>35v</v>
      </c>
      <c r="S506" s="8" t="str">
        <f t="shared" si="87"/>
        <v>3300µF 35v - R16.0-35.5 Jamicon (SK)</v>
      </c>
      <c r="T506" s="8">
        <f t="shared" si="95"/>
        <v>1</v>
      </c>
      <c r="U506" s="8" t="b">
        <f>NOT(ISNA(MATCH($P506,Packages!$A:$A,0)))</f>
        <v>1</v>
      </c>
    </row>
    <row r="507" spans="1:21" hidden="1">
      <c r="A507" s="6" t="s">
        <v>47</v>
      </c>
      <c r="B507" s="6" t="s">
        <v>48</v>
      </c>
      <c r="C507" s="33">
        <v>3300</v>
      </c>
      <c r="D507" s="34">
        <v>35</v>
      </c>
      <c r="E507" s="6" t="s">
        <v>100</v>
      </c>
      <c r="F507" s="6" t="s">
        <v>59</v>
      </c>
      <c r="G507" s="6"/>
      <c r="H507" s="7" t="s">
        <v>141</v>
      </c>
      <c r="I507" s="7"/>
      <c r="J507" s="7" t="str">
        <f t="shared" si="97"/>
        <v>JAMICON</v>
      </c>
      <c r="K507" s="7" t="str">
        <f t="shared" si="89"/>
        <v>3300µF 35v</v>
      </c>
      <c r="L507" s="7" t="str">
        <f t="shared" si="96"/>
        <v>SK</v>
      </c>
      <c r="M507" s="31">
        <f t="shared" si="90"/>
        <v>18</v>
      </c>
      <c r="N507" s="31">
        <f t="shared" si="91"/>
        <v>35.5</v>
      </c>
      <c r="O507" s="8" t="str">
        <f t="shared" si="92"/>
        <v>Jamicon-SK</v>
      </c>
      <c r="P507" s="12" t="str">
        <f t="shared" si="86"/>
        <v>Jamicon R-18.0x36.0</v>
      </c>
      <c r="Q507" s="12" t="str">
        <f t="shared" si="93"/>
        <v>3300µF</v>
      </c>
      <c r="R507" s="12" t="str">
        <f t="shared" si="94"/>
        <v>35v</v>
      </c>
      <c r="S507" s="8" t="str">
        <f t="shared" si="87"/>
        <v>3300µF 35v - R18.0-35.5 Jamicon (SK)</v>
      </c>
      <c r="T507" s="8">
        <f t="shared" si="95"/>
        <v>1</v>
      </c>
      <c r="U507" s="8" t="b">
        <f>NOT(ISNA(MATCH($P507,Packages!$A:$A,0)))</f>
        <v>1</v>
      </c>
    </row>
    <row r="508" spans="1:21" hidden="1">
      <c r="A508" s="6" t="s">
        <v>47</v>
      </c>
      <c r="B508" s="6" t="s">
        <v>48</v>
      </c>
      <c r="C508" s="33">
        <v>4700</v>
      </c>
      <c r="D508" s="34">
        <v>35</v>
      </c>
      <c r="E508" s="6" t="s">
        <v>100</v>
      </c>
      <c r="F508" s="6" t="s">
        <v>59</v>
      </c>
      <c r="G508" s="6"/>
      <c r="H508" s="7" t="s">
        <v>141</v>
      </c>
      <c r="I508" s="7"/>
      <c r="J508" s="7" t="str">
        <f t="shared" si="97"/>
        <v>JAMICON</v>
      </c>
      <c r="K508" s="7" t="str">
        <f t="shared" si="89"/>
        <v>4700µF 35v</v>
      </c>
      <c r="L508" s="7" t="str">
        <f t="shared" si="96"/>
        <v>SK</v>
      </c>
      <c r="M508" s="31">
        <f t="shared" si="90"/>
        <v>18</v>
      </c>
      <c r="N508" s="31">
        <f t="shared" si="91"/>
        <v>35.5</v>
      </c>
      <c r="O508" s="8" t="str">
        <f t="shared" si="92"/>
        <v>Jamicon-SK</v>
      </c>
      <c r="P508" s="12" t="str">
        <f t="shared" si="86"/>
        <v>Jamicon R-18.0x36.0</v>
      </c>
      <c r="Q508" s="12" t="str">
        <f t="shared" si="93"/>
        <v>4700µF</v>
      </c>
      <c r="R508" s="12" t="str">
        <f t="shared" si="94"/>
        <v>35v</v>
      </c>
      <c r="S508" s="8" t="str">
        <f t="shared" si="87"/>
        <v>4700µF 35v - R18.0-35.5 Jamicon (SK)</v>
      </c>
      <c r="T508" s="8">
        <f t="shared" si="95"/>
        <v>1</v>
      </c>
      <c r="U508" s="8" t="b">
        <f>NOT(ISNA(MATCH($P508,Packages!$A:$A,0)))</f>
        <v>1</v>
      </c>
    </row>
    <row r="509" spans="1:21" hidden="1">
      <c r="A509" s="6" t="s">
        <v>47</v>
      </c>
      <c r="B509" s="6" t="s">
        <v>48</v>
      </c>
      <c r="C509" s="33">
        <v>4700</v>
      </c>
      <c r="D509" s="34">
        <v>35</v>
      </c>
      <c r="E509" s="6" t="s">
        <v>101</v>
      </c>
      <c r="F509" s="6" t="s">
        <v>59</v>
      </c>
      <c r="G509" s="6"/>
      <c r="H509" s="7" t="s">
        <v>141</v>
      </c>
      <c r="I509" s="7"/>
      <c r="J509" s="7" t="str">
        <f t="shared" si="97"/>
        <v>JAMICON</v>
      </c>
      <c r="K509" s="7" t="str">
        <f t="shared" si="89"/>
        <v>4700µF 35v</v>
      </c>
      <c r="L509" s="7" t="str">
        <f t="shared" si="96"/>
        <v>SK</v>
      </c>
      <c r="M509" s="31">
        <f t="shared" si="90"/>
        <v>18</v>
      </c>
      <c r="N509" s="31">
        <f t="shared" si="91"/>
        <v>40</v>
      </c>
      <c r="O509" s="8" t="str">
        <f t="shared" si="92"/>
        <v>Jamicon-SK</v>
      </c>
      <c r="P509" s="12" t="str">
        <f t="shared" si="86"/>
        <v>Jamicon R-18.0x40.0</v>
      </c>
      <c r="Q509" s="12" t="str">
        <f t="shared" si="93"/>
        <v>4700µF</v>
      </c>
      <c r="R509" s="12" t="str">
        <f t="shared" si="94"/>
        <v>35v</v>
      </c>
      <c r="S509" s="8" t="str">
        <f t="shared" si="87"/>
        <v>4700µF 35v - R18.0-40.0 Jamicon (SK)</v>
      </c>
      <c r="T509" s="8">
        <f t="shared" si="95"/>
        <v>1</v>
      </c>
      <c r="U509" s="8" t="b">
        <f>NOT(ISNA(MATCH($P509,Packages!$A:$A,0)))</f>
        <v>1</v>
      </c>
    </row>
    <row r="510" spans="1:21" hidden="1">
      <c r="A510" s="6" t="s">
        <v>47</v>
      </c>
      <c r="B510" s="6" t="s">
        <v>48</v>
      </c>
      <c r="C510" s="33">
        <v>6800</v>
      </c>
      <c r="D510" s="34">
        <v>35</v>
      </c>
      <c r="E510" s="6" t="s">
        <v>105</v>
      </c>
      <c r="F510" s="6" t="s">
        <v>59</v>
      </c>
      <c r="G510" s="6"/>
      <c r="H510" s="7" t="s">
        <v>141</v>
      </c>
      <c r="I510" s="7"/>
      <c r="J510" s="7" t="str">
        <f t="shared" si="97"/>
        <v>JAMICON</v>
      </c>
      <c r="K510" s="7" t="str">
        <f t="shared" si="89"/>
        <v>6800µF 35v</v>
      </c>
      <c r="L510" s="7" t="str">
        <f t="shared" si="96"/>
        <v>SK</v>
      </c>
      <c r="M510" s="31">
        <f t="shared" si="90"/>
        <v>22</v>
      </c>
      <c r="N510" s="31">
        <f t="shared" si="91"/>
        <v>45</v>
      </c>
      <c r="O510" s="8" t="str">
        <f t="shared" si="92"/>
        <v>Jamicon-SK</v>
      </c>
      <c r="P510" s="12" t="str">
        <f t="shared" si="86"/>
        <v>Jamicon R-22.0x45.0</v>
      </c>
      <c r="Q510" s="12" t="str">
        <f t="shared" si="93"/>
        <v>6800µF</v>
      </c>
      <c r="R510" s="12" t="str">
        <f t="shared" si="94"/>
        <v>35v</v>
      </c>
      <c r="S510" s="8" t="str">
        <f t="shared" si="87"/>
        <v>6800µF 35v - R22.0-45.0 Jamicon (SK)</v>
      </c>
      <c r="T510" s="8">
        <f t="shared" si="95"/>
        <v>1</v>
      </c>
      <c r="U510" s="8" t="b">
        <f>NOT(ISNA(MATCH($P510,Packages!$A:$A,0)))</f>
        <v>1</v>
      </c>
    </row>
    <row r="511" spans="1:21" hidden="1">
      <c r="A511" s="6" t="s">
        <v>47</v>
      </c>
      <c r="B511" s="6" t="s">
        <v>48</v>
      </c>
      <c r="C511" s="33">
        <v>8200</v>
      </c>
      <c r="D511" s="34">
        <v>35</v>
      </c>
      <c r="E511" s="6" t="s">
        <v>106</v>
      </c>
      <c r="F511" s="6" t="s">
        <v>59</v>
      </c>
      <c r="G511" s="6"/>
      <c r="H511" s="7" t="s">
        <v>141</v>
      </c>
      <c r="I511" s="7"/>
      <c r="J511" s="7" t="str">
        <f t="shared" si="97"/>
        <v>JAMICON</v>
      </c>
      <c r="K511" s="7" t="str">
        <f t="shared" si="89"/>
        <v>8200µF 35v</v>
      </c>
      <c r="L511" s="7" t="str">
        <f t="shared" si="96"/>
        <v>SK</v>
      </c>
      <c r="M511" s="31">
        <f t="shared" si="90"/>
        <v>22</v>
      </c>
      <c r="N511" s="31">
        <f t="shared" si="91"/>
        <v>50</v>
      </c>
      <c r="O511" s="8" t="str">
        <f t="shared" si="92"/>
        <v>Jamicon-SK</v>
      </c>
      <c r="P511" s="12" t="str">
        <f t="shared" si="86"/>
        <v>Jamicon R-22.0x50.0</v>
      </c>
      <c r="Q511" s="12" t="str">
        <f t="shared" si="93"/>
        <v>8200µF</v>
      </c>
      <c r="R511" s="12" t="str">
        <f t="shared" si="94"/>
        <v>35v</v>
      </c>
      <c r="S511" s="8" t="str">
        <f t="shared" si="87"/>
        <v>8200µF 35v - R22.0-50.0 Jamicon (SK)</v>
      </c>
      <c r="T511" s="8">
        <f t="shared" si="95"/>
        <v>1</v>
      </c>
      <c r="U511" s="8" t="b">
        <f>NOT(ISNA(MATCH($P511,Packages!$A:$A,0)))</f>
        <v>1</v>
      </c>
    </row>
    <row r="512" spans="1:21" hidden="1">
      <c r="A512" s="6" t="s">
        <v>47</v>
      </c>
      <c r="B512" s="6" t="s">
        <v>48</v>
      </c>
      <c r="C512" s="33">
        <v>10000</v>
      </c>
      <c r="D512" s="34">
        <v>35</v>
      </c>
      <c r="E512" s="6" t="s">
        <v>86</v>
      </c>
      <c r="F512" s="6" t="s">
        <v>59</v>
      </c>
      <c r="G512" s="6"/>
      <c r="H512" s="7" t="s">
        <v>141</v>
      </c>
      <c r="I512" s="7"/>
      <c r="J512" s="7" t="str">
        <f t="shared" si="97"/>
        <v>JAMICON</v>
      </c>
      <c r="K512" s="7" t="str">
        <f t="shared" si="89"/>
        <v>10000µF 35v</v>
      </c>
      <c r="L512" s="7" t="str">
        <f t="shared" si="96"/>
        <v>SK</v>
      </c>
      <c r="M512" s="31">
        <f t="shared" si="90"/>
        <v>25</v>
      </c>
      <c r="N512" s="31">
        <f t="shared" si="91"/>
        <v>50</v>
      </c>
      <c r="O512" s="8" t="str">
        <f t="shared" si="92"/>
        <v>Jamicon-SK</v>
      </c>
      <c r="P512" s="12" t="str">
        <f t="shared" si="86"/>
        <v>Jamicon R-25.0x50.0</v>
      </c>
      <c r="Q512" s="12" t="str">
        <f t="shared" si="93"/>
        <v>10000µF</v>
      </c>
      <c r="R512" s="12" t="str">
        <f t="shared" si="94"/>
        <v>35v</v>
      </c>
      <c r="S512" s="8" t="str">
        <f t="shared" si="87"/>
        <v>10000µF 35v - R25.0-50.0 Jamicon (SK)</v>
      </c>
      <c r="T512" s="8">
        <f t="shared" si="95"/>
        <v>1</v>
      </c>
      <c r="U512" s="8" t="b">
        <f>NOT(ISNA(MATCH($P512,Packages!$A:$A,0)))</f>
        <v>1</v>
      </c>
    </row>
    <row r="513" spans="1:21" hidden="1">
      <c r="A513" s="6" t="s">
        <v>47</v>
      </c>
      <c r="B513" s="6" t="s">
        <v>48</v>
      </c>
      <c r="C513" s="33">
        <v>0.47</v>
      </c>
      <c r="D513" s="34">
        <v>50</v>
      </c>
      <c r="E513" s="6" t="s">
        <v>68</v>
      </c>
      <c r="F513" s="6" t="s">
        <v>59</v>
      </c>
      <c r="G513" s="6"/>
      <c r="H513" s="7" t="s">
        <v>141</v>
      </c>
      <c r="I513" s="7"/>
      <c r="J513" s="7" t="str">
        <f t="shared" si="97"/>
        <v>JAMICON</v>
      </c>
      <c r="K513" s="7" t="str">
        <f t="shared" si="89"/>
        <v>0.47µF 50v</v>
      </c>
      <c r="L513" s="7" t="str">
        <f t="shared" si="96"/>
        <v>SK</v>
      </c>
      <c r="M513" s="31">
        <f t="shared" si="90"/>
        <v>5</v>
      </c>
      <c r="N513" s="31">
        <f t="shared" si="91"/>
        <v>11</v>
      </c>
      <c r="O513" s="8" t="str">
        <f t="shared" si="92"/>
        <v>Jamicon-SK</v>
      </c>
      <c r="P513" s="12" t="str">
        <f t="shared" si="86"/>
        <v>Jamicon R-05.0x11.0</v>
      </c>
      <c r="Q513" s="12" t="str">
        <f t="shared" si="93"/>
        <v>0.47µF</v>
      </c>
      <c r="R513" s="12" t="str">
        <f t="shared" si="94"/>
        <v>50v</v>
      </c>
      <c r="S513" s="8" t="str">
        <f t="shared" si="87"/>
        <v>0.47µF 50v - R05.0-11.0 Jamicon (SK)</v>
      </c>
      <c r="T513" s="8">
        <f t="shared" si="95"/>
        <v>1</v>
      </c>
      <c r="U513" s="8" t="b">
        <f>NOT(ISNA(MATCH($P513,Packages!$A:$A,0)))</f>
        <v>1</v>
      </c>
    </row>
    <row r="514" spans="1:21" hidden="1">
      <c r="A514" s="6" t="s">
        <v>47</v>
      </c>
      <c r="B514" s="6" t="s">
        <v>48</v>
      </c>
      <c r="C514" s="33">
        <v>1</v>
      </c>
      <c r="D514" s="34">
        <v>50</v>
      </c>
      <c r="E514" s="6" t="s">
        <v>68</v>
      </c>
      <c r="F514" s="6" t="s">
        <v>59</v>
      </c>
      <c r="G514" s="6"/>
      <c r="H514" s="7" t="s">
        <v>141</v>
      </c>
      <c r="I514" s="7"/>
      <c r="J514" s="7" t="str">
        <f t="shared" si="97"/>
        <v>JAMICON</v>
      </c>
      <c r="K514" s="7" t="str">
        <f t="shared" si="89"/>
        <v>1µF 50v</v>
      </c>
      <c r="L514" s="7" t="str">
        <f t="shared" si="96"/>
        <v>SK</v>
      </c>
      <c r="M514" s="31">
        <f t="shared" si="90"/>
        <v>5</v>
      </c>
      <c r="N514" s="31">
        <f t="shared" si="91"/>
        <v>11</v>
      </c>
      <c r="O514" s="8" t="str">
        <f t="shared" si="92"/>
        <v>Jamicon-SK</v>
      </c>
      <c r="P514" s="12" t="str">
        <f t="shared" ref="P514:P577" si="98">$A514&amp;" "&amp;LEFT($F514,1)&amp;"-"&amp;TEXT(ROUND($M514,0),"00.0")&amp;"x"&amp;TEXT(ROUND($N514,0),"00.0")</f>
        <v>Jamicon R-05.0x11.0</v>
      </c>
      <c r="Q514" s="12" t="str">
        <f t="shared" si="93"/>
        <v>1µF</v>
      </c>
      <c r="R514" s="12" t="str">
        <f t="shared" si="94"/>
        <v>50v</v>
      </c>
      <c r="S514" s="8" t="str">
        <f t="shared" ref="S514:S577" si="99">$Q514&amp;" "&amp;$R514&amp;" - "&amp;LEFT($F514,1)&amp;TEXT($M514,"00.0")&amp;"-"&amp;TEXT($N514,"00.0")&amp;" "&amp;A514&amp;" ("&amp;B514&amp;")"&amp;IF(ISBLANK($G514),""," "&amp;$G514)</f>
        <v>1µF 50v - R05.0-11.0 Jamicon (SK)</v>
      </c>
      <c r="T514" s="8">
        <f t="shared" si="95"/>
        <v>1</v>
      </c>
      <c r="U514" s="8" t="b">
        <f>NOT(ISNA(MATCH($P514,Packages!$A:$A,0)))</f>
        <v>1</v>
      </c>
    </row>
    <row r="515" spans="1:21" hidden="1">
      <c r="A515" s="6" t="s">
        <v>47</v>
      </c>
      <c r="B515" s="6" t="s">
        <v>48</v>
      </c>
      <c r="C515" s="33">
        <v>2.2000000000000002</v>
      </c>
      <c r="D515" s="34">
        <v>50</v>
      </c>
      <c r="E515" s="6" t="s">
        <v>68</v>
      </c>
      <c r="F515" s="6" t="s">
        <v>59</v>
      </c>
      <c r="G515" s="6"/>
      <c r="H515" s="7" t="s">
        <v>141</v>
      </c>
      <c r="I515" s="7"/>
      <c r="J515" s="7" t="str">
        <f t="shared" si="97"/>
        <v>JAMICON</v>
      </c>
      <c r="K515" s="7" t="str">
        <f t="shared" ref="K515:K546" si="100">$Q515&amp;" "&amp;$R515</f>
        <v>2.2µF 50v</v>
      </c>
      <c r="L515" s="7" t="str">
        <f t="shared" si="96"/>
        <v>SK</v>
      </c>
      <c r="M515" s="31">
        <f t="shared" ref="M515:M578" si="101">VALUE(LEFT($E515,SEARCH("x",$E515)-1))</f>
        <v>5</v>
      </c>
      <c r="N515" s="31">
        <f t="shared" ref="N515:N578" si="102">VALUE(RIGHT($E515,LEN($E515)-SEARCH("x",$E515)))</f>
        <v>11</v>
      </c>
      <c r="O515" s="8" t="str">
        <f t="shared" ref="O515:O578" si="103">$A515&amp;"-"&amp;$B515</f>
        <v>Jamicon-SK</v>
      </c>
      <c r="P515" s="12" t="str">
        <f t="shared" si="98"/>
        <v>Jamicon R-05.0x11.0</v>
      </c>
      <c r="Q515" s="12" t="str">
        <f t="shared" ref="Q515:Q578" si="104">TEXT($C515,"General"&amp;CHAR(34)&amp;"µF"&amp;CHAR(34))</f>
        <v>2.2µF</v>
      </c>
      <c r="R515" s="12" t="str">
        <f t="shared" ref="R515:R578" si="105">TEXT($D515,"General"&amp;CHAR(34)&amp;"v"&amp;CHAR(34))</f>
        <v>50v</v>
      </c>
      <c r="S515" s="8" t="str">
        <f t="shared" si="99"/>
        <v>2.2µF 50v - R05.0-11.0 Jamicon (SK)</v>
      </c>
      <c r="T515" s="8">
        <f t="shared" ref="T515:T578" si="106">COUNTIF($S:$S,$S515)</f>
        <v>1</v>
      </c>
      <c r="U515" s="8" t="b">
        <f>NOT(ISNA(MATCH($P515,Packages!$A:$A,0)))</f>
        <v>1</v>
      </c>
    </row>
    <row r="516" spans="1:21" hidden="1">
      <c r="A516" s="6" t="s">
        <v>47</v>
      </c>
      <c r="B516" s="6" t="s">
        <v>48</v>
      </c>
      <c r="C516" s="33">
        <v>3.3</v>
      </c>
      <c r="D516" s="34">
        <v>50</v>
      </c>
      <c r="E516" s="6" t="s">
        <v>68</v>
      </c>
      <c r="F516" s="6" t="s">
        <v>59</v>
      </c>
      <c r="G516" s="6"/>
      <c r="H516" s="7" t="s">
        <v>141</v>
      </c>
      <c r="I516" s="7"/>
      <c r="J516" s="7" t="str">
        <f t="shared" si="97"/>
        <v>JAMICON</v>
      </c>
      <c r="K516" s="7" t="str">
        <f t="shared" si="100"/>
        <v>3.3µF 50v</v>
      </c>
      <c r="L516" s="7" t="str">
        <f t="shared" si="96"/>
        <v>SK</v>
      </c>
      <c r="M516" s="31">
        <f t="shared" si="101"/>
        <v>5</v>
      </c>
      <c r="N516" s="31">
        <f t="shared" si="102"/>
        <v>11</v>
      </c>
      <c r="O516" s="8" t="str">
        <f t="shared" si="103"/>
        <v>Jamicon-SK</v>
      </c>
      <c r="P516" s="12" t="str">
        <f t="shared" si="98"/>
        <v>Jamicon R-05.0x11.0</v>
      </c>
      <c r="Q516" s="12" t="str">
        <f t="shared" si="104"/>
        <v>3.3µF</v>
      </c>
      <c r="R516" s="12" t="str">
        <f t="shared" si="105"/>
        <v>50v</v>
      </c>
      <c r="S516" s="8" t="str">
        <f t="shared" si="99"/>
        <v>3.3µF 50v - R05.0-11.0 Jamicon (SK)</v>
      </c>
      <c r="T516" s="8">
        <f t="shared" si="106"/>
        <v>1</v>
      </c>
      <c r="U516" s="8" t="b">
        <f>NOT(ISNA(MATCH($P516,Packages!$A:$A,0)))</f>
        <v>1</v>
      </c>
    </row>
    <row r="517" spans="1:21" hidden="1">
      <c r="A517" s="6" t="s">
        <v>47</v>
      </c>
      <c r="B517" s="6" t="s">
        <v>48</v>
      </c>
      <c r="C517" s="33">
        <v>4.7</v>
      </c>
      <c r="D517" s="34">
        <v>50</v>
      </c>
      <c r="E517" s="6" t="s">
        <v>68</v>
      </c>
      <c r="F517" s="6" t="s">
        <v>59</v>
      </c>
      <c r="G517" s="6"/>
      <c r="H517" s="7" t="s">
        <v>141</v>
      </c>
      <c r="I517" s="7"/>
      <c r="J517" s="7" t="str">
        <f t="shared" ref="J517:J580" si="107">UPPER($A517)</f>
        <v>JAMICON</v>
      </c>
      <c r="K517" s="7" t="str">
        <f t="shared" si="100"/>
        <v>4.7µF 50v</v>
      </c>
      <c r="L517" s="7" t="str">
        <f t="shared" si="96"/>
        <v>SK</v>
      </c>
      <c r="M517" s="31">
        <f t="shared" si="101"/>
        <v>5</v>
      </c>
      <c r="N517" s="31">
        <f t="shared" si="102"/>
        <v>11</v>
      </c>
      <c r="O517" s="8" t="str">
        <f t="shared" si="103"/>
        <v>Jamicon-SK</v>
      </c>
      <c r="P517" s="12" t="str">
        <f t="shared" si="98"/>
        <v>Jamicon R-05.0x11.0</v>
      </c>
      <c r="Q517" s="12" t="str">
        <f t="shared" si="104"/>
        <v>4.7µF</v>
      </c>
      <c r="R517" s="12" t="str">
        <f t="shared" si="105"/>
        <v>50v</v>
      </c>
      <c r="S517" s="8" t="str">
        <f t="shared" si="99"/>
        <v>4.7µF 50v - R05.0-11.0 Jamicon (SK)</v>
      </c>
      <c r="T517" s="8">
        <f t="shared" si="106"/>
        <v>1</v>
      </c>
      <c r="U517" s="8" t="b">
        <f>NOT(ISNA(MATCH($P517,Packages!$A:$A,0)))</f>
        <v>1</v>
      </c>
    </row>
    <row r="518" spans="1:21" hidden="1">
      <c r="A518" s="6" t="s">
        <v>47</v>
      </c>
      <c r="B518" s="6" t="s">
        <v>48</v>
      </c>
      <c r="C518" s="33">
        <v>10</v>
      </c>
      <c r="D518" s="34">
        <v>50</v>
      </c>
      <c r="E518" s="6" t="s">
        <v>68</v>
      </c>
      <c r="F518" s="6" t="s">
        <v>59</v>
      </c>
      <c r="G518" s="6"/>
      <c r="H518" s="7" t="s">
        <v>141</v>
      </c>
      <c r="I518" s="7"/>
      <c r="J518" s="7" t="str">
        <f t="shared" si="107"/>
        <v>JAMICON</v>
      </c>
      <c r="K518" s="7" t="str">
        <f t="shared" si="100"/>
        <v>10µF 50v</v>
      </c>
      <c r="L518" s="7" t="str">
        <f t="shared" si="96"/>
        <v>SK</v>
      </c>
      <c r="M518" s="31">
        <f t="shared" si="101"/>
        <v>5</v>
      </c>
      <c r="N518" s="31">
        <f t="shared" si="102"/>
        <v>11</v>
      </c>
      <c r="O518" s="8" t="str">
        <f t="shared" si="103"/>
        <v>Jamicon-SK</v>
      </c>
      <c r="P518" s="12" t="str">
        <f t="shared" si="98"/>
        <v>Jamicon R-05.0x11.0</v>
      </c>
      <c r="Q518" s="12" t="str">
        <f t="shared" si="104"/>
        <v>10µF</v>
      </c>
      <c r="R518" s="12" t="str">
        <f t="shared" si="105"/>
        <v>50v</v>
      </c>
      <c r="S518" s="8" t="str">
        <f t="shared" si="99"/>
        <v>10µF 50v - R05.0-11.0 Jamicon (SK)</v>
      </c>
      <c r="T518" s="8">
        <f t="shared" si="106"/>
        <v>1</v>
      </c>
      <c r="U518" s="8" t="b">
        <f>NOT(ISNA(MATCH($P518,Packages!$A:$A,0)))</f>
        <v>1</v>
      </c>
    </row>
    <row r="519" spans="1:21" hidden="1">
      <c r="A519" s="6" t="s">
        <v>47</v>
      </c>
      <c r="B519" s="6" t="s">
        <v>48</v>
      </c>
      <c r="C519" s="33">
        <v>22</v>
      </c>
      <c r="D519" s="34">
        <v>50</v>
      </c>
      <c r="E519" s="6" t="s">
        <v>68</v>
      </c>
      <c r="F519" s="6" t="s">
        <v>59</v>
      </c>
      <c r="G519" s="6"/>
      <c r="H519" s="7" t="s">
        <v>141</v>
      </c>
      <c r="I519" s="7"/>
      <c r="J519" s="7" t="str">
        <f t="shared" si="107"/>
        <v>JAMICON</v>
      </c>
      <c r="K519" s="7" t="str">
        <f t="shared" si="100"/>
        <v>22µF 50v</v>
      </c>
      <c r="L519" s="7" t="str">
        <f t="shared" si="96"/>
        <v>SK</v>
      </c>
      <c r="M519" s="31">
        <f t="shared" si="101"/>
        <v>5</v>
      </c>
      <c r="N519" s="31">
        <f t="shared" si="102"/>
        <v>11</v>
      </c>
      <c r="O519" s="8" t="str">
        <f t="shared" si="103"/>
        <v>Jamicon-SK</v>
      </c>
      <c r="P519" s="12" t="str">
        <f t="shared" si="98"/>
        <v>Jamicon R-05.0x11.0</v>
      </c>
      <c r="Q519" s="12" t="str">
        <f t="shared" si="104"/>
        <v>22µF</v>
      </c>
      <c r="R519" s="12" t="str">
        <f t="shared" si="105"/>
        <v>50v</v>
      </c>
      <c r="S519" s="8" t="str">
        <f t="shared" si="99"/>
        <v>22µF 50v - R05.0-11.0 Jamicon (SK)</v>
      </c>
      <c r="T519" s="8">
        <f t="shared" si="106"/>
        <v>1</v>
      </c>
      <c r="U519" s="8" t="b">
        <f>NOT(ISNA(MATCH($P519,Packages!$A:$A,0)))</f>
        <v>1</v>
      </c>
    </row>
    <row r="520" spans="1:21" hidden="1">
      <c r="A520" s="6" t="s">
        <v>47</v>
      </c>
      <c r="B520" s="6" t="s">
        <v>48</v>
      </c>
      <c r="C520" s="33">
        <v>33</v>
      </c>
      <c r="D520" s="34">
        <v>50</v>
      </c>
      <c r="E520" s="6" t="s">
        <v>68</v>
      </c>
      <c r="F520" s="6" t="s">
        <v>59</v>
      </c>
      <c r="G520" s="6"/>
      <c r="H520" s="7" t="s">
        <v>141</v>
      </c>
      <c r="I520" s="7"/>
      <c r="J520" s="7" t="str">
        <f t="shared" si="107"/>
        <v>JAMICON</v>
      </c>
      <c r="K520" s="7" t="str">
        <f t="shared" si="100"/>
        <v>33µF 50v</v>
      </c>
      <c r="L520" s="7" t="str">
        <f t="shared" si="96"/>
        <v>SK</v>
      </c>
      <c r="M520" s="31">
        <f t="shared" si="101"/>
        <v>5</v>
      </c>
      <c r="N520" s="31">
        <f t="shared" si="102"/>
        <v>11</v>
      </c>
      <c r="O520" s="8" t="str">
        <f t="shared" si="103"/>
        <v>Jamicon-SK</v>
      </c>
      <c r="P520" s="12" t="str">
        <f t="shared" si="98"/>
        <v>Jamicon R-05.0x11.0</v>
      </c>
      <c r="Q520" s="12" t="str">
        <f t="shared" si="104"/>
        <v>33µF</v>
      </c>
      <c r="R520" s="12" t="str">
        <f t="shared" si="105"/>
        <v>50v</v>
      </c>
      <c r="S520" s="8" t="str">
        <f t="shared" si="99"/>
        <v>33µF 50v - R05.0-11.0 Jamicon (SK)</v>
      </c>
      <c r="T520" s="8">
        <f t="shared" si="106"/>
        <v>1</v>
      </c>
      <c r="U520" s="8" t="b">
        <f>NOT(ISNA(MATCH($P520,Packages!$A:$A,0)))</f>
        <v>1</v>
      </c>
    </row>
    <row r="521" spans="1:21" hidden="1">
      <c r="A521" s="6" t="s">
        <v>47</v>
      </c>
      <c r="B521" s="6" t="s">
        <v>48</v>
      </c>
      <c r="C521" s="33">
        <v>33</v>
      </c>
      <c r="D521" s="34">
        <v>50</v>
      </c>
      <c r="E521" s="6" t="s">
        <v>69</v>
      </c>
      <c r="F521" s="6" t="s">
        <v>59</v>
      </c>
      <c r="G521" s="6"/>
      <c r="H521" s="7" t="s">
        <v>141</v>
      </c>
      <c r="I521" s="7"/>
      <c r="J521" s="7" t="str">
        <f t="shared" si="107"/>
        <v>JAMICON</v>
      </c>
      <c r="K521" s="7" t="str">
        <f t="shared" si="100"/>
        <v>33µF 50v</v>
      </c>
      <c r="L521" s="7" t="str">
        <f t="shared" si="96"/>
        <v>SK</v>
      </c>
      <c r="M521" s="31">
        <f t="shared" si="101"/>
        <v>6.3</v>
      </c>
      <c r="N521" s="31">
        <f t="shared" si="102"/>
        <v>11</v>
      </c>
      <c r="O521" s="8" t="str">
        <f t="shared" si="103"/>
        <v>Jamicon-SK</v>
      </c>
      <c r="P521" s="12" t="str">
        <f t="shared" si="98"/>
        <v>Jamicon R-06.0x11.0</v>
      </c>
      <c r="Q521" s="12" t="str">
        <f t="shared" si="104"/>
        <v>33µF</v>
      </c>
      <c r="R521" s="12" t="str">
        <f t="shared" si="105"/>
        <v>50v</v>
      </c>
      <c r="S521" s="8" t="str">
        <f t="shared" si="99"/>
        <v>33µF 50v - R06.3-11.0 Jamicon (SK)</v>
      </c>
      <c r="T521" s="8">
        <f t="shared" si="106"/>
        <v>1</v>
      </c>
      <c r="U521" s="8" t="b">
        <f>NOT(ISNA(MATCH($P521,Packages!$A:$A,0)))</f>
        <v>1</v>
      </c>
    </row>
    <row r="522" spans="1:21" hidden="1">
      <c r="A522" s="6" t="s">
        <v>47</v>
      </c>
      <c r="B522" s="6" t="s">
        <v>48</v>
      </c>
      <c r="C522" s="33">
        <v>47</v>
      </c>
      <c r="D522" s="34">
        <v>50</v>
      </c>
      <c r="E522" s="6" t="s">
        <v>69</v>
      </c>
      <c r="F522" s="6" t="s">
        <v>59</v>
      </c>
      <c r="G522" s="6"/>
      <c r="H522" s="7" t="s">
        <v>141</v>
      </c>
      <c r="I522" s="7"/>
      <c r="J522" s="7" t="str">
        <f t="shared" si="107"/>
        <v>JAMICON</v>
      </c>
      <c r="K522" s="7" t="str">
        <f t="shared" si="100"/>
        <v>47µF 50v</v>
      </c>
      <c r="L522" s="7" t="str">
        <f t="shared" si="96"/>
        <v>SK</v>
      </c>
      <c r="M522" s="31">
        <f t="shared" si="101"/>
        <v>6.3</v>
      </c>
      <c r="N522" s="31">
        <f t="shared" si="102"/>
        <v>11</v>
      </c>
      <c r="O522" s="8" t="str">
        <f t="shared" si="103"/>
        <v>Jamicon-SK</v>
      </c>
      <c r="P522" s="12" t="str">
        <f t="shared" si="98"/>
        <v>Jamicon R-06.0x11.0</v>
      </c>
      <c r="Q522" s="12" t="str">
        <f t="shared" si="104"/>
        <v>47µF</v>
      </c>
      <c r="R522" s="12" t="str">
        <f t="shared" si="105"/>
        <v>50v</v>
      </c>
      <c r="S522" s="8" t="str">
        <f t="shared" si="99"/>
        <v>47µF 50v - R06.3-11.0 Jamicon (SK)</v>
      </c>
      <c r="T522" s="8">
        <f t="shared" si="106"/>
        <v>1</v>
      </c>
      <c r="U522" s="8" t="b">
        <f>NOT(ISNA(MATCH($P522,Packages!$A:$A,0)))</f>
        <v>1</v>
      </c>
    </row>
    <row r="523" spans="1:21" hidden="1">
      <c r="A523" s="6" t="s">
        <v>47</v>
      </c>
      <c r="B523" s="6" t="s">
        <v>48</v>
      </c>
      <c r="C523" s="33">
        <v>47</v>
      </c>
      <c r="D523" s="34">
        <v>50</v>
      </c>
      <c r="E523" s="6" t="s">
        <v>108</v>
      </c>
      <c r="F523" s="6" t="s">
        <v>59</v>
      </c>
      <c r="G523" s="6"/>
      <c r="H523" s="7" t="s">
        <v>141</v>
      </c>
      <c r="I523" s="7"/>
      <c r="J523" s="7" t="str">
        <f t="shared" si="107"/>
        <v>JAMICON</v>
      </c>
      <c r="K523" s="7" t="str">
        <f t="shared" si="100"/>
        <v>47µF 50v</v>
      </c>
      <c r="L523" s="7" t="str">
        <f t="shared" si="96"/>
        <v>SK</v>
      </c>
      <c r="M523" s="31">
        <f t="shared" si="101"/>
        <v>8</v>
      </c>
      <c r="N523" s="31">
        <f t="shared" si="102"/>
        <v>11.5</v>
      </c>
      <c r="O523" s="8" t="str">
        <f t="shared" si="103"/>
        <v>Jamicon-SK</v>
      </c>
      <c r="P523" s="12" t="str">
        <f t="shared" si="98"/>
        <v>Jamicon R-08.0x12.0</v>
      </c>
      <c r="Q523" s="12" t="str">
        <f t="shared" si="104"/>
        <v>47µF</v>
      </c>
      <c r="R523" s="12" t="str">
        <f t="shared" si="105"/>
        <v>50v</v>
      </c>
      <c r="S523" s="8" t="str">
        <f t="shared" si="99"/>
        <v>47µF 50v - R08.0-11.5 Jamicon (SK)</v>
      </c>
      <c r="T523" s="8">
        <f t="shared" si="106"/>
        <v>1</v>
      </c>
      <c r="U523" s="8" t="b">
        <f>NOT(ISNA(MATCH($P523,Packages!$A:$A,0)))</f>
        <v>1</v>
      </c>
    </row>
    <row r="524" spans="1:21" hidden="1">
      <c r="A524" s="6" t="s">
        <v>47</v>
      </c>
      <c r="B524" s="6" t="s">
        <v>48</v>
      </c>
      <c r="C524" s="33">
        <v>100</v>
      </c>
      <c r="D524" s="34">
        <v>50</v>
      </c>
      <c r="E524" s="6" t="s">
        <v>108</v>
      </c>
      <c r="F524" s="6" t="s">
        <v>59</v>
      </c>
      <c r="G524" s="6"/>
      <c r="H524" s="7" t="s">
        <v>141</v>
      </c>
      <c r="I524" s="7"/>
      <c r="J524" s="7" t="str">
        <f t="shared" si="107"/>
        <v>JAMICON</v>
      </c>
      <c r="K524" s="7" t="str">
        <f t="shared" si="100"/>
        <v>100µF 50v</v>
      </c>
      <c r="L524" s="7" t="str">
        <f t="shared" si="96"/>
        <v>SK</v>
      </c>
      <c r="M524" s="31">
        <f t="shared" si="101"/>
        <v>8</v>
      </c>
      <c r="N524" s="31">
        <f t="shared" si="102"/>
        <v>11.5</v>
      </c>
      <c r="O524" s="8" t="str">
        <f t="shared" si="103"/>
        <v>Jamicon-SK</v>
      </c>
      <c r="P524" s="12" t="str">
        <f t="shared" si="98"/>
        <v>Jamicon R-08.0x12.0</v>
      </c>
      <c r="Q524" s="12" t="str">
        <f t="shared" si="104"/>
        <v>100µF</v>
      </c>
      <c r="R524" s="12" t="str">
        <f t="shared" si="105"/>
        <v>50v</v>
      </c>
      <c r="S524" s="8" t="str">
        <f t="shared" si="99"/>
        <v>100µF 50v - R08.0-11.5 Jamicon (SK)</v>
      </c>
      <c r="T524" s="8">
        <f t="shared" si="106"/>
        <v>1</v>
      </c>
      <c r="U524" s="8" t="b">
        <f>NOT(ISNA(MATCH($P524,Packages!$A:$A,0)))</f>
        <v>1</v>
      </c>
    </row>
    <row r="525" spans="1:21" hidden="1">
      <c r="A525" s="6" t="s">
        <v>47</v>
      </c>
      <c r="B525" s="6" t="s">
        <v>48</v>
      </c>
      <c r="C525" s="33">
        <v>100</v>
      </c>
      <c r="D525" s="34">
        <v>50</v>
      </c>
      <c r="E525" s="6" t="s">
        <v>92</v>
      </c>
      <c r="F525" s="6" t="s">
        <v>59</v>
      </c>
      <c r="G525" s="6"/>
      <c r="H525" s="7" t="s">
        <v>141</v>
      </c>
      <c r="I525" s="7"/>
      <c r="J525" s="7" t="str">
        <f t="shared" si="107"/>
        <v>JAMICON</v>
      </c>
      <c r="K525" s="7" t="str">
        <f t="shared" si="100"/>
        <v>100µF 50v</v>
      </c>
      <c r="L525" s="7" t="str">
        <f t="shared" si="96"/>
        <v>SK</v>
      </c>
      <c r="M525" s="31">
        <f t="shared" si="101"/>
        <v>10</v>
      </c>
      <c r="N525" s="31">
        <f t="shared" si="102"/>
        <v>12.5</v>
      </c>
      <c r="O525" s="8" t="str">
        <f t="shared" si="103"/>
        <v>Jamicon-SK</v>
      </c>
      <c r="P525" s="12" t="str">
        <f t="shared" si="98"/>
        <v>Jamicon R-10.0x13.0</v>
      </c>
      <c r="Q525" s="12" t="str">
        <f t="shared" si="104"/>
        <v>100µF</v>
      </c>
      <c r="R525" s="12" t="str">
        <f t="shared" si="105"/>
        <v>50v</v>
      </c>
      <c r="S525" s="8" t="str">
        <f t="shared" si="99"/>
        <v>100µF 50v - R10.0-12.5 Jamicon (SK)</v>
      </c>
      <c r="T525" s="8">
        <f t="shared" si="106"/>
        <v>1</v>
      </c>
      <c r="U525" s="8" t="b">
        <f>NOT(ISNA(MATCH($P525,Packages!$A:$A,0)))</f>
        <v>1</v>
      </c>
    </row>
    <row r="526" spans="1:21" hidden="1">
      <c r="A526" s="6" t="s">
        <v>47</v>
      </c>
      <c r="B526" s="6" t="s">
        <v>48</v>
      </c>
      <c r="C526" s="33">
        <v>220</v>
      </c>
      <c r="D526" s="34">
        <v>50</v>
      </c>
      <c r="E526" s="6" t="s">
        <v>92</v>
      </c>
      <c r="F526" s="6" t="s">
        <v>59</v>
      </c>
      <c r="G526" s="6"/>
      <c r="H526" s="7" t="s">
        <v>141</v>
      </c>
      <c r="I526" s="7"/>
      <c r="J526" s="7" t="str">
        <f t="shared" si="107"/>
        <v>JAMICON</v>
      </c>
      <c r="K526" s="7" t="str">
        <f t="shared" si="100"/>
        <v>220µF 50v</v>
      </c>
      <c r="L526" s="7" t="str">
        <f t="shared" si="96"/>
        <v>SK</v>
      </c>
      <c r="M526" s="31">
        <f t="shared" si="101"/>
        <v>10</v>
      </c>
      <c r="N526" s="31">
        <f t="shared" si="102"/>
        <v>12.5</v>
      </c>
      <c r="O526" s="8" t="str">
        <f t="shared" si="103"/>
        <v>Jamicon-SK</v>
      </c>
      <c r="P526" s="12" t="str">
        <f t="shared" si="98"/>
        <v>Jamicon R-10.0x13.0</v>
      </c>
      <c r="Q526" s="12" t="str">
        <f t="shared" si="104"/>
        <v>220µF</v>
      </c>
      <c r="R526" s="12" t="str">
        <f t="shared" si="105"/>
        <v>50v</v>
      </c>
      <c r="S526" s="8" t="str">
        <f t="shared" si="99"/>
        <v>220µF 50v - R10.0-12.5 Jamicon (SK)</v>
      </c>
      <c r="T526" s="8">
        <f t="shared" si="106"/>
        <v>1</v>
      </c>
      <c r="U526" s="8" t="b">
        <f>NOT(ISNA(MATCH($P526,Packages!$A:$A,0)))</f>
        <v>1</v>
      </c>
    </row>
    <row r="527" spans="1:21" hidden="1">
      <c r="A527" s="6" t="s">
        <v>47</v>
      </c>
      <c r="B527" s="6" t="s">
        <v>48</v>
      </c>
      <c r="C527" s="33">
        <v>220</v>
      </c>
      <c r="D527" s="34">
        <v>50</v>
      </c>
      <c r="E527" s="6" t="s">
        <v>74</v>
      </c>
      <c r="F527" s="6" t="s">
        <v>59</v>
      </c>
      <c r="G527" s="6"/>
      <c r="H527" s="7" t="s">
        <v>141</v>
      </c>
      <c r="I527" s="7"/>
      <c r="J527" s="7" t="str">
        <f t="shared" si="107"/>
        <v>JAMICON</v>
      </c>
      <c r="K527" s="7" t="str">
        <f t="shared" si="100"/>
        <v>220µF 50v</v>
      </c>
      <c r="L527" s="7" t="str">
        <f t="shared" si="96"/>
        <v>SK</v>
      </c>
      <c r="M527" s="31">
        <f t="shared" si="101"/>
        <v>10</v>
      </c>
      <c r="N527" s="31">
        <f t="shared" si="102"/>
        <v>16</v>
      </c>
      <c r="O527" s="8" t="str">
        <f t="shared" si="103"/>
        <v>Jamicon-SK</v>
      </c>
      <c r="P527" s="12" t="str">
        <f t="shared" si="98"/>
        <v>Jamicon R-10.0x16.0</v>
      </c>
      <c r="Q527" s="12" t="str">
        <f t="shared" si="104"/>
        <v>220µF</v>
      </c>
      <c r="R527" s="12" t="str">
        <f t="shared" si="105"/>
        <v>50v</v>
      </c>
      <c r="S527" s="8" t="str">
        <f t="shared" si="99"/>
        <v>220µF 50v - R10.0-16.0 Jamicon (SK)</v>
      </c>
      <c r="T527" s="8">
        <f t="shared" si="106"/>
        <v>1</v>
      </c>
      <c r="U527" s="8" t="b">
        <f>NOT(ISNA(MATCH($P527,Packages!$A:$A,0)))</f>
        <v>1</v>
      </c>
    </row>
    <row r="528" spans="1:21" hidden="1">
      <c r="A528" s="6" t="s">
        <v>47</v>
      </c>
      <c r="B528" s="6" t="s">
        <v>48</v>
      </c>
      <c r="C528" s="33">
        <v>330</v>
      </c>
      <c r="D528" s="34">
        <v>50</v>
      </c>
      <c r="E528" s="6" t="s">
        <v>74</v>
      </c>
      <c r="F528" s="6" t="s">
        <v>59</v>
      </c>
      <c r="G528" s="6"/>
      <c r="H528" s="7" t="s">
        <v>141</v>
      </c>
      <c r="I528" s="7"/>
      <c r="J528" s="7" t="str">
        <f t="shared" si="107"/>
        <v>JAMICON</v>
      </c>
      <c r="K528" s="7" t="str">
        <f t="shared" si="100"/>
        <v>330µF 50v</v>
      </c>
      <c r="L528" s="7" t="str">
        <f t="shared" si="96"/>
        <v>SK</v>
      </c>
      <c r="M528" s="31">
        <f t="shared" si="101"/>
        <v>10</v>
      </c>
      <c r="N528" s="31">
        <f t="shared" si="102"/>
        <v>16</v>
      </c>
      <c r="O528" s="8" t="str">
        <f t="shared" si="103"/>
        <v>Jamicon-SK</v>
      </c>
      <c r="P528" s="12" t="str">
        <f t="shared" si="98"/>
        <v>Jamicon R-10.0x16.0</v>
      </c>
      <c r="Q528" s="12" t="str">
        <f t="shared" si="104"/>
        <v>330µF</v>
      </c>
      <c r="R528" s="12" t="str">
        <f t="shared" si="105"/>
        <v>50v</v>
      </c>
      <c r="S528" s="8" t="str">
        <f t="shared" si="99"/>
        <v>330µF 50v - R10.0-16.0 Jamicon (SK)</v>
      </c>
      <c r="T528" s="8">
        <f t="shared" si="106"/>
        <v>1</v>
      </c>
      <c r="U528" s="8" t="b">
        <f>NOT(ISNA(MATCH($P528,Packages!$A:$A,0)))</f>
        <v>1</v>
      </c>
    </row>
    <row r="529" spans="1:21" hidden="1">
      <c r="A529" s="6" t="s">
        <v>47</v>
      </c>
      <c r="B529" s="6" t="s">
        <v>48</v>
      </c>
      <c r="C529" s="33">
        <v>330</v>
      </c>
      <c r="D529" s="34">
        <v>50</v>
      </c>
      <c r="E529" s="6" t="s">
        <v>94</v>
      </c>
      <c r="F529" s="6" t="s">
        <v>59</v>
      </c>
      <c r="G529" s="6"/>
      <c r="H529" s="7" t="s">
        <v>141</v>
      </c>
      <c r="I529" s="7"/>
      <c r="J529" s="7" t="str">
        <f t="shared" si="107"/>
        <v>JAMICON</v>
      </c>
      <c r="K529" s="7" t="str">
        <f t="shared" si="100"/>
        <v>330µF 50v</v>
      </c>
      <c r="L529" s="7" t="str">
        <f t="shared" si="96"/>
        <v>SK</v>
      </c>
      <c r="M529" s="31">
        <f t="shared" si="101"/>
        <v>10</v>
      </c>
      <c r="N529" s="31">
        <f t="shared" si="102"/>
        <v>20</v>
      </c>
      <c r="O529" s="8" t="str">
        <f t="shared" si="103"/>
        <v>Jamicon-SK</v>
      </c>
      <c r="P529" s="12" t="str">
        <f t="shared" si="98"/>
        <v>Jamicon R-10.0x20.0</v>
      </c>
      <c r="Q529" s="12" t="str">
        <f t="shared" si="104"/>
        <v>330µF</v>
      </c>
      <c r="R529" s="12" t="str">
        <f t="shared" si="105"/>
        <v>50v</v>
      </c>
      <c r="S529" s="8" t="str">
        <f t="shared" si="99"/>
        <v>330µF 50v - R10.0-20.0 Jamicon (SK)</v>
      </c>
      <c r="T529" s="8">
        <f t="shared" si="106"/>
        <v>1</v>
      </c>
      <c r="U529" s="8" t="b">
        <f>NOT(ISNA(MATCH($P529,Packages!$A:$A,0)))</f>
        <v>1</v>
      </c>
    </row>
    <row r="530" spans="1:21" hidden="1">
      <c r="A530" s="6" t="s">
        <v>47</v>
      </c>
      <c r="B530" s="6" t="s">
        <v>48</v>
      </c>
      <c r="C530" s="33">
        <v>470</v>
      </c>
      <c r="D530" s="34">
        <v>50</v>
      </c>
      <c r="E530" s="6" t="s">
        <v>94</v>
      </c>
      <c r="F530" s="6" t="s">
        <v>59</v>
      </c>
      <c r="G530" s="6"/>
      <c r="H530" s="7" t="s">
        <v>141</v>
      </c>
      <c r="I530" s="7"/>
      <c r="J530" s="7" t="str">
        <f t="shared" si="107"/>
        <v>JAMICON</v>
      </c>
      <c r="K530" s="7" t="str">
        <f t="shared" si="100"/>
        <v>470µF 50v</v>
      </c>
      <c r="L530" s="7" t="str">
        <f t="shared" si="96"/>
        <v>SK</v>
      </c>
      <c r="M530" s="31">
        <f t="shared" si="101"/>
        <v>10</v>
      </c>
      <c r="N530" s="31">
        <f t="shared" si="102"/>
        <v>20</v>
      </c>
      <c r="O530" s="8" t="str">
        <f t="shared" si="103"/>
        <v>Jamicon-SK</v>
      </c>
      <c r="P530" s="12" t="str">
        <f t="shared" si="98"/>
        <v>Jamicon R-10.0x20.0</v>
      </c>
      <c r="Q530" s="12" t="str">
        <f t="shared" si="104"/>
        <v>470µF</v>
      </c>
      <c r="R530" s="12" t="str">
        <f t="shared" si="105"/>
        <v>50v</v>
      </c>
      <c r="S530" s="8" t="str">
        <f t="shared" si="99"/>
        <v>470µF 50v - R10.0-20.0 Jamicon (SK)</v>
      </c>
      <c r="T530" s="8">
        <f t="shared" si="106"/>
        <v>1</v>
      </c>
      <c r="U530" s="8" t="b">
        <f>NOT(ISNA(MATCH($P530,Packages!$A:$A,0)))</f>
        <v>1</v>
      </c>
    </row>
    <row r="531" spans="1:21" hidden="1">
      <c r="A531" s="6" t="s">
        <v>47</v>
      </c>
      <c r="B531" s="6" t="s">
        <v>48</v>
      </c>
      <c r="C531" s="33">
        <v>470</v>
      </c>
      <c r="D531" s="34">
        <v>50</v>
      </c>
      <c r="E531" s="6" t="s">
        <v>95</v>
      </c>
      <c r="F531" s="6" t="s">
        <v>59</v>
      </c>
      <c r="G531" s="6"/>
      <c r="H531" s="7" t="s">
        <v>141</v>
      </c>
      <c r="I531" s="7"/>
      <c r="J531" s="7" t="str">
        <f t="shared" si="107"/>
        <v>JAMICON</v>
      </c>
      <c r="K531" s="7" t="str">
        <f t="shared" si="100"/>
        <v>470µF 50v</v>
      </c>
      <c r="L531" s="7" t="str">
        <f t="shared" si="96"/>
        <v>SK</v>
      </c>
      <c r="M531" s="31">
        <f t="shared" si="101"/>
        <v>12.5</v>
      </c>
      <c r="N531" s="31">
        <f t="shared" si="102"/>
        <v>20</v>
      </c>
      <c r="O531" s="8" t="str">
        <f t="shared" si="103"/>
        <v>Jamicon-SK</v>
      </c>
      <c r="P531" s="12" t="str">
        <f t="shared" si="98"/>
        <v>Jamicon R-13.0x20.0</v>
      </c>
      <c r="Q531" s="12" t="str">
        <f t="shared" si="104"/>
        <v>470µF</v>
      </c>
      <c r="R531" s="12" t="str">
        <f t="shared" si="105"/>
        <v>50v</v>
      </c>
      <c r="S531" s="8" t="str">
        <f t="shared" si="99"/>
        <v>470µF 50v - R12.5-20.0 Jamicon (SK)</v>
      </c>
      <c r="T531" s="8">
        <f t="shared" si="106"/>
        <v>1</v>
      </c>
      <c r="U531" s="8" t="b">
        <f>NOT(ISNA(MATCH($P531,Packages!$A:$A,0)))</f>
        <v>1</v>
      </c>
    </row>
    <row r="532" spans="1:21" hidden="1">
      <c r="A532" s="6" t="s">
        <v>47</v>
      </c>
      <c r="B532" s="6" t="s">
        <v>48</v>
      </c>
      <c r="C532" s="33">
        <v>1000</v>
      </c>
      <c r="D532" s="34">
        <v>50</v>
      </c>
      <c r="E532" s="6" t="s">
        <v>96</v>
      </c>
      <c r="F532" s="6" t="s">
        <v>59</v>
      </c>
      <c r="G532" s="6"/>
      <c r="H532" s="7" t="s">
        <v>141</v>
      </c>
      <c r="I532" s="7"/>
      <c r="J532" s="7" t="str">
        <f t="shared" si="107"/>
        <v>JAMICON</v>
      </c>
      <c r="K532" s="7" t="str">
        <f t="shared" si="100"/>
        <v>1000µF 50v</v>
      </c>
      <c r="L532" s="7" t="str">
        <f t="shared" si="96"/>
        <v>SK</v>
      </c>
      <c r="M532" s="31">
        <f t="shared" si="101"/>
        <v>12.5</v>
      </c>
      <c r="N532" s="31">
        <f t="shared" si="102"/>
        <v>25</v>
      </c>
      <c r="O532" s="8" t="str">
        <f t="shared" si="103"/>
        <v>Jamicon-SK</v>
      </c>
      <c r="P532" s="12" t="str">
        <f t="shared" si="98"/>
        <v>Jamicon R-13.0x25.0</v>
      </c>
      <c r="Q532" s="12" t="str">
        <f t="shared" si="104"/>
        <v>1000µF</v>
      </c>
      <c r="R532" s="12" t="str">
        <f t="shared" si="105"/>
        <v>50v</v>
      </c>
      <c r="S532" s="8" t="str">
        <f t="shared" si="99"/>
        <v>1000µF 50v - R12.5-25.0 Jamicon (SK)</v>
      </c>
      <c r="T532" s="8">
        <f t="shared" si="106"/>
        <v>1</v>
      </c>
      <c r="U532" s="8" t="b">
        <f>NOT(ISNA(MATCH($P532,Packages!$A:$A,0)))</f>
        <v>1</v>
      </c>
    </row>
    <row r="533" spans="1:21" hidden="1">
      <c r="A533" s="6" t="s">
        <v>47</v>
      </c>
      <c r="B533" s="6" t="s">
        <v>48</v>
      </c>
      <c r="C533" s="33">
        <v>1000</v>
      </c>
      <c r="D533" s="34">
        <v>50</v>
      </c>
      <c r="E533" s="6" t="s">
        <v>97</v>
      </c>
      <c r="F533" s="6" t="s">
        <v>59</v>
      </c>
      <c r="G533" s="6"/>
      <c r="H533" s="7" t="s">
        <v>141</v>
      </c>
      <c r="I533" s="7"/>
      <c r="J533" s="7" t="str">
        <f t="shared" si="107"/>
        <v>JAMICON</v>
      </c>
      <c r="K533" s="7" t="str">
        <f t="shared" si="100"/>
        <v>1000µF 50v</v>
      </c>
      <c r="L533" s="7" t="str">
        <f t="shared" si="96"/>
        <v>SK</v>
      </c>
      <c r="M533" s="31">
        <f t="shared" si="101"/>
        <v>16</v>
      </c>
      <c r="N533" s="31">
        <f t="shared" si="102"/>
        <v>25</v>
      </c>
      <c r="O533" s="8" t="str">
        <f t="shared" si="103"/>
        <v>Jamicon-SK</v>
      </c>
      <c r="P533" s="12" t="str">
        <f t="shared" si="98"/>
        <v>Jamicon R-16.0x25.0</v>
      </c>
      <c r="Q533" s="12" t="str">
        <f t="shared" si="104"/>
        <v>1000µF</v>
      </c>
      <c r="R533" s="12" t="str">
        <f t="shared" si="105"/>
        <v>50v</v>
      </c>
      <c r="S533" s="8" t="str">
        <f t="shared" si="99"/>
        <v>1000µF 50v - R16.0-25.0 Jamicon (SK)</v>
      </c>
      <c r="T533" s="8">
        <f t="shared" si="106"/>
        <v>1</v>
      </c>
      <c r="U533" s="8" t="b">
        <f>NOT(ISNA(MATCH($P533,Packages!$A:$A,0)))</f>
        <v>1</v>
      </c>
    </row>
    <row r="534" spans="1:21" hidden="1">
      <c r="A534" s="6" t="s">
        <v>47</v>
      </c>
      <c r="B534" s="6" t="s">
        <v>48</v>
      </c>
      <c r="C534" s="33">
        <v>2200</v>
      </c>
      <c r="D534" s="34">
        <v>50</v>
      </c>
      <c r="E534" s="6" t="s">
        <v>99</v>
      </c>
      <c r="F534" s="6" t="s">
        <v>59</v>
      </c>
      <c r="G534" s="6"/>
      <c r="H534" s="7" t="s">
        <v>141</v>
      </c>
      <c r="I534" s="7"/>
      <c r="J534" s="7" t="str">
        <f t="shared" si="107"/>
        <v>JAMICON</v>
      </c>
      <c r="K534" s="7" t="str">
        <f t="shared" si="100"/>
        <v>2200µF 50v</v>
      </c>
      <c r="L534" s="7" t="str">
        <f t="shared" si="96"/>
        <v>SK</v>
      </c>
      <c r="M534" s="31">
        <f t="shared" si="101"/>
        <v>16</v>
      </c>
      <c r="N534" s="31">
        <f t="shared" si="102"/>
        <v>35.5</v>
      </c>
      <c r="O534" s="8" t="str">
        <f t="shared" si="103"/>
        <v>Jamicon-SK</v>
      </c>
      <c r="P534" s="12" t="str">
        <f t="shared" si="98"/>
        <v>Jamicon R-16.0x36.0</v>
      </c>
      <c r="Q534" s="12" t="str">
        <f t="shared" si="104"/>
        <v>2200µF</v>
      </c>
      <c r="R534" s="12" t="str">
        <f t="shared" si="105"/>
        <v>50v</v>
      </c>
      <c r="S534" s="8" t="str">
        <f t="shared" si="99"/>
        <v>2200µF 50v - R16.0-35.5 Jamicon (SK)</v>
      </c>
      <c r="T534" s="8">
        <f t="shared" si="106"/>
        <v>1</v>
      </c>
      <c r="U534" s="8" t="b">
        <f>NOT(ISNA(MATCH($P534,Packages!$A:$A,0)))</f>
        <v>1</v>
      </c>
    </row>
    <row r="535" spans="1:21" hidden="1">
      <c r="A535" s="6" t="s">
        <v>47</v>
      </c>
      <c r="B535" s="6" t="s">
        <v>48</v>
      </c>
      <c r="C535" s="33">
        <v>2200</v>
      </c>
      <c r="D535" s="34">
        <v>50</v>
      </c>
      <c r="E535" s="6" t="s">
        <v>100</v>
      </c>
      <c r="F535" s="6" t="s">
        <v>59</v>
      </c>
      <c r="G535" s="6"/>
      <c r="H535" s="7" t="s">
        <v>141</v>
      </c>
      <c r="I535" s="7"/>
      <c r="J535" s="7" t="str">
        <f t="shared" si="107"/>
        <v>JAMICON</v>
      </c>
      <c r="K535" s="7" t="str">
        <f t="shared" si="100"/>
        <v>2200µF 50v</v>
      </c>
      <c r="L535" s="7" t="str">
        <f t="shared" si="96"/>
        <v>SK</v>
      </c>
      <c r="M535" s="31">
        <f t="shared" si="101"/>
        <v>18</v>
      </c>
      <c r="N535" s="31">
        <f t="shared" si="102"/>
        <v>35.5</v>
      </c>
      <c r="O535" s="8" t="str">
        <f t="shared" si="103"/>
        <v>Jamicon-SK</v>
      </c>
      <c r="P535" s="12" t="str">
        <f t="shared" si="98"/>
        <v>Jamicon R-18.0x36.0</v>
      </c>
      <c r="Q535" s="12" t="str">
        <f t="shared" si="104"/>
        <v>2200µF</v>
      </c>
      <c r="R535" s="12" t="str">
        <f t="shared" si="105"/>
        <v>50v</v>
      </c>
      <c r="S535" s="8" t="str">
        <f t="shared" si="99"/>
        <v>2200µF 50v - R18.0-35.5 Jamicon (SK)</v>
      </c>
      <c r="T535" s="8">
        <f t="shared" si="106"/>
        <v>1</v>
      </c>
      <c r="U535" s="8" t="b">
        <f>NOT(ISNA(MATCH($P535,Packages!$A:$A,0)))</f>
        <v>1</v>
      </c>
    </row>
    <row r="536" spans="1:21" hidden="1">
      <c r="A536" s="6" t="s">
        <v>47</v>
      </c>
      <c r="B536" s="6" t="s">
        <v>48</v>
      </c>
      <c r="C536" s="33">
        <v>3300</v>
      </c>
      <c r="D536" s="34">
        <v>50</v>
      </c>
      <c r="E536" s="6" t="s">
        <v>100</v>
      </c>
      <c r="F536" s="6" t="s">
        <v>59</v>
      </c>
      <c r="G536" s="6"/>
      <c r="H536" s="7" t="s">
        <v>141</v>
      </c>
      <c r="I536" s="7"/>
      <c r="J536" s="7" t="str">
        <f t="shared" si="107"/>
        <v>JAMICON</v>
      </c>
      <c r="K536" s="7" t="str">
        <f t="shared" si="100"/>
        <v>3300µF 50v</v>
      </c>
      <c r="L536" s="7" t="str">
        <f t="shared" ref="L536:L599" si="108">B536</f>
        <v>SK</v>
      </c>
      <c r="M536" s="31">
        <f t="shared" si="101"/>
        <v>18</v>
      </c>
      <c r="N536" s="31">
        <f t="shared" si="102"/>
        <v>35.5</v>
      </c>
      <c r="O536" s="8" t="str">
        <f t="shared" si="103"/>
        <v>Jamicon-SK</v>
      </c>
      <c r="P536" s="12" t="str">
        <f t="shared" si="98"/>
        <v>Jamicon R-18.0x36.0</v>
      </c>
      <c r="Q536" s="12" t="str">
        <f t="shared" si="104"/>
        <v>3300µF</v>
      </c>
      <c r="R536" s="12" t="str">
        <f t="shared" si="105"/>
        <v>50v</v>
      </c>
      <c r="S536" s="8" t="str">
        <f t="shared" si="99"/>
        <v>3300µF 50v - R18.0-35.5 Jamicon (SK)</v>
      </c>
      <c r="T536" s="8">
        <f t="shared" si="106"/>
        <v>1</v>
      </c>
      <c r="U536" s="8" t="b">
        <f>NOT(ISNA(MATCH($P536,Packages!$A:$A,0)))</f>
        <v>1</v>
      </c>
    </row>
    <row r="537" spans="1:21" hidden="1">
      <c r="A537" s="6" t="s">
        <v>47</v>
      </c>
      <c r="B537" s="6" t="s">
        <v>48</v>
      </c>
      <c r="C537" s="33">
        <v>3300</v>
      </c>
      <c r="D537" s="34">
        <v>50</v>
      </c>
      <c r="E537" s="6" t="s">
        <v>101</v>
      </c>
      <c r="F537" s="6" t="s">
        <v>59</v>
      </c>
      <c r="G537" s="6"/>
      <c r="H537" s="7" t="s">
        <v>141</v>
      </c>
      <c r="I537" s="7"/>
      <c r="J537" s="7" t="str">
        <f t="shared" si="107"/>
        <v>JAMICON</v>
      </c>
      <c r="K537" s="7" t="str">
        <f t="shared" si="100"/>
        <v>3300µF 50v</v>
      </c>
      <c r="L537" s="7" t="str">
        <f t="shared" si="108"/>
        <v>SK</v>
      </c>
      <c r="M537" s="31">
        <f t="shared" si="101"/>
        <v>18</v>
      </c>
      <c r="N537" s="31">
        <f t="shared" si="102"/>
        <v>40</v>
      </c>
      <c r="O537" s="8" t="str">
        <f t="shared" si="103"/>
        <v>Jamicon-SK</v>
      </c>
      <c r="P537" s="12" t="str">
        <f t="shared" si="98"/>
        <v>Jamicon R-18.0x40.0</v>
      </c>
      <c r="Q537" s="12" t="str">
        <f t="shared" si="104"/>
        <v>3300µF</v>
      </c>
      <c r="R537" s="12" t="str">
        <f t="shared" si="105"/>
        <v>50v</v>
      </c>
      <c r="S537" s="8" t="str">
        <f t="shared" si="99"/>
        <v>3300µF 50v - R18.0-40.0 Jamicon (SK)</v>
      </c>
      <c r="T537" s="8">
        <f t="shared" si="106"/>
        <v>1</v>
      </c>
      <c r="U537" s="8" t="b">
        <f>NOT(ISNA(MATCH($P537,Packages!$A:$A,0)))</f>
        <v>1</v>
      </c>
    </row>
    <row r="538" spans="1:21" hidden="1">
      <c r="A538" s="6" t="s">
        <v>47</v>
      </c>
      <c r="B538" s="6" t="s">
        <v>48</v>
      </c>
      <c r="C538" s="33">
        <v>4700</v>
      </c>
      <c r="D538" s="34">
        <v>50</v>
      </c>
      <c r="E538" s="6" t="s">
        <v>105</v>
      </c>
      <c r="F538" s="6" t="s">
        <v>59</v>
      </c>
      <c r="G538" s="6"/>
      <c r="H538" s="7" t="s">
        <v>141</v>
      </c>
      <c r="I538" s="7"/>
      <c r="J538" s="7" t="str">
        <f t="shared" si="107"/>
        <v>JAMICON</v>
      </c>
      <c r="K538" s="7" t="str">
        <f t="shared" si="100"/>
        <v>4700µF 50v</v>
      </c>
      <c r="L538" s="7" t="str">
        <f t="shared" si="108"/>
        <v>SK</v>
      </c>
      <c r="M538" s="31">
        <f t="shared" si="101"/>
        <v>22</v>
      </c>
      <c r="N538" s="31">
        <f t="shared" si="102"/>
        <v>45</v>
      </c>
      <c r="O538" s="8" t="str">
        <f t="shared" si="103"/>
        <v>Jamicon-SK</v>
      </c>
      <c r="P538" s="12" t="str">
        <f t="shared" si="98"/>
        <v>Jamicon R-22.0x45.0</v>
      </c>
      <c r="Q538" s="12" t="str">
        <f t="shared" si="104"/>
        <v>4700µF</v>
      </c>
      <c r="R538" s="12" t="str">
        <f t="shared" si="105"/>
        <v>50v</v>
      </c>
      <c r="S538" s="8" t="str">
        <f t="shared" si="99"/>
        <v>4700µF 50v - R22.0-45.0 Jamicon (SK)</v>
      </c>
      <c r="T538" s="8">
        <f t="shared" si="106"/>
        <v>1</v>
      </c>
      <c r="U538" s="8" t="b">
        <f>NOT(ISNA(MATCH($P538,Packages!$A:$A,0)))</f>
        <v>1</v>
      </c>
    </row>
    <row r="539" spans="1:21" hidden="1">
      <c r="A539" s="6" t="s">
        <v>47</v>
      </c>
      <c r="B539" s="6" t="s">
        <v>48</v>
      </c>
      <c r="C539" s="33">
        <v>6800</v>
      </c>
      <c r="D539" s="34">
        <v>50</v>
      </c>
      <c r="E539" s="6" t="s">
        <v>86</v>
      </c>
      <c r="F539" s="6" t="s">
        <v>59</v>
      </c>
      <c r="G539" s="6"/>
      <c r="H539" s="7" t="s">
        <v>141</v>
      </c>
      <c r="I539" s="7"/>
      <c r="J539" s="7" t="str">
        <f t="shared" si="107"/>
        <v>JAMICON</v>
      </c>
      <c r="K539" s="7" t="str">
        <f t="shared" si="100"/>
        <v>6800µF 50v</v>
      </c>
      <c r="L539" s="7" t="str">
        <f t="shared" si="108"/>
        <v>SK</v>
      </c>
      <c r="M539" s="31">
        <f t="shared" si="101"/>
        <v>25</v>
      </c>
      <c r="N539" s="31">
        <f t="shared" si="102"/>
        <v>50</v>
      </c>
      <c r="O539" s="8" t="str">
        <f t="shared" si="103"/>
        <v>Jamicon-SK</v>
      </c>
      <c r="P539" s="12" t="str">
        <f t="shared" si="98"/>
        <v>Jamicon R-25.0x50.0</v>
      </c>
      <c r="Q539" s="12" t="str">
        <f t="shared" si="104"/>
        <v>6800µF</v>
      </c>
      <c r="R539" s="12" t="str">
        <f t="shared" si="105"/>
        <v>50v</v>
      </c>
      <c r="S539" s="8" t="str">
        <f t="shared" si="99"/>
        <v>6800µF 50v - R25.0-50.0 Jamicon (SK)</v>
      </c>
      <c r="T539" s="8">
        <f t="shared" si="106"/>
        <v>1</v>
      </c>
      <c r="U539" s="8" t="b">
        <f>NOT(ISNA(MATCH($P539,Packages!$A:$A,0)))</f>
        <v>1</v>
      </c>
    </row>
    <row r="540" spans="1:21" hidden="1">
      <c r="A540" s="6" t="s">
        <v>47</v>
      </c>
      <c r="B540" s="6" t="s">
        <v>48</v>
      </c>
      <c r="C540" s="33">
        <v>10</v>
      </c>
      <c r="D540" s="34">
        <v>63</v>
      </c>
      <c r="E540" s="6" t="s">
        <v>68</v>
      </c>
      <c r="F540" s="6" t="s">
        <v>59</v>
      </c>
      <c r="G540" s="6"/>
      <c r="H540" s="7" t="s">
        <v>141</v>
      </c>
      <c r="I540" s="7"/>
      <c r="J540" s="7" t="str">
        <f t="shared" si="107"/>
        <v>JAMICON</v>
      </c>
      <c r="K540" s="7" t="str">
        <f t="shared" si="100"/>
        <v>10µF 63v</v>
      </c>
      <c r="L540" s="7" t="str">
        <f t="shared" si="108"/>
        <v>SK</v>
      </c>
      <c r="M540" s="31">
        <f t="shared" si="101"/>
        <v>5</v>
      </c>
      <c r="N540" s="31">
        <f t="shared" si="102"/>
        <v>11</v>
      </c>
      <c r="O540" s="8" t="str">
        <f t="shared" si="103"/>
        <v>Jamicon-SK</v>
      </c>
      <c r="P540" s="12" t="str">
        <f t="shared" si="98"/>
        <v>Jamicon R-05.0x11.0</v>
      </c>
      <c r="Q540" s="12" t="str">
        <f t="shared" si="104"/>
        <v>10µF</v>
      </c>
      <c r="R540" s="12" t="str">
        <f t="shared" si="105"/>
        <v>63v</v>
      </c>
      <c r="S540" s="8" t="str">
        <f t="shared" si="99"/>
        <v>10µF 63v - R05.0-11.0 Jamicon (SK)</v>
      </c>
      <c r="T540" s="8">
        <f t="shared" si="106"/>
        <v>1</v>
      </c>
      <c r="U540" s="8" t="b">
        <f>NOT(ISNA(MATCH($P540,Packages!$A:$A,0)))</f>
        <v>1</v>
      </c>
    </row>
    <row r="541" spans="1:21" hidden="1">
      <c r="A541" s="6" t="s">
        <v>47</v>
      </c>
      <c r="B541" s="6" t="s">
        <v>48</v>
      </c>
      <c r="C541" s="33">
        <v>22</v>
      </c>
      <c r="D541" s="34">
        <v>63</v>
      </c>
      <c r="E541" s="6" t="s">
        <v>68</v>
      </c>
      <c r="F541" s="6" t="s">
        <v>59</v>
      </c>
      <c r="G541" s="6"/>
      <c r="H541" s="7" t="s">
        <v>141</v>
      </c>
      <c r="I541" s="7"/>
      <c r="J541" s="7" t="str">
        <f t="shared" si="107"/>
        <v>JAMICON</v>
      </c>
      <c r="K541" s="7" t="str">
        <f t="shared" si="100"/>
        <v>22µF 63v</v>
      </c>
      <c r="L541" s="7" t="str">
        <f t="shared" si="108"/>
        <v>SK</v>
      </c>
      <c r="M541" s="31">
        <f t="shared" si="101"/>
        <v>5</v>
      </c>
      <c r="N541" s="31">
        <f t="shared" si="102"/>
        <v>11</v>
      </c>
      <c r="O541" s="8" t="str">
        <f t="shared" si="103"/>
        <v>Jamicon-SK</v>
      </c>
      <c r="P541" s="12" t="str">
        <f t="shared" si="98"/>
        <v>Jamicon R-05.0x11.0</v>
      </c>
      <c r="Q541" s="12" t="str">
        <f t="shared" si="104"/>
        <v>22µF</v>
      </c>
      <c r="R541" s="12" t="str">
        <f t="shared" si="105"/>
        <v>63v</v>
      </c>
      <c r="S541" s="8" t="str">
        <f t="shared" si="99"/>
        <v>22µF 63v - R05.0-11.0 Jamicon (SK)</v>
      </c>
      <c r="T541" s="8">
        <f t="shared" si="106"/>
        <v>1</v>
      </c>
      <c r="U541" s="8" t="b">
        <f>NOT(ISNA(MATCH($P541,Packages!$A:$A,0)))</f>
        <v>1</v>
      </c>
    </row>
    <row r="542" spans="1:21" hidden="1">
      <c r="A542" s="6" t="s">
        <v>47</v>
      </c>
      <c r="B542" s="6" t="s">
        <v>48</v>
      </c>
      <c r="C542" s="33">
        <v>22</v>
      </c>
      <c r="D542" s="34">
        <v>63</v>
      </c>
      <c r="E542" s="6" t="s">
        <v>69</v>
      </c>
      <c r="F542" s="6" t="s">
        <v>59</v>
      </c>
      <c r="G542" s="6"/>
      <c r="H542" s="7" t="s">
        <v>141</v>
      </c>
      <c r="I542" s="7"/>
      <c r="J542" s="7" t="str">
        <f t="shared" si="107"/>
        <v>JAMICON</v>
      </c>
      <c r="K542" s="7" t="str">
        <f t="shared" si="100"/>
        <v>22µF 63v</v>
      </c>
      <c r="L542" s="7" t="str">
        <f t="shared" si="108"/>
        <v>SK</v>
      </c>
      <c r="M542" s="31">
        <f t="shared" si="101"/>
        <v>6.3</v>
      </c>
      <c r="N542" s="31">
        <f t="shared" si="102"/>
        <v>11</v>
      </c>
      <c r="O542" s="8" t="str">
        <f t="shared" si="103"/>
        <v>Jamicon-SK</v>
      </c>
      <c r="P542" s="12" t="str">
        <f t="shared" si="98"/>
        <v>Jamicon R-06.0x11.0</v>
      </c>
      <c r="Q542" s="12" t="str">
        <f t="shared" si="104"/>
        <v>22µF</v>
      </c>
      <c r="R542" s="12" t="str">
        <f t="shared" si="105"/>
        <v>63v</v>
      </c>
      <c r="S542" s="8" t="str">
        <f t="shared" si="99"/>
        <v>22µF 63v - R06.3-11.0 Jamicon (SK)</v>
      </c>
      <c r="T542" s="8">
        <f t="shared" si="106"/>
        <v>1</v>
      </c>
      <c r="U542" s="8" t="b">
        <f>NOT(ISNA(MATCH($P542,Packages!$A:$A,0)))</f>
        <v>1</v>
      </c>
    </row>
    <row r="543" spans="1:21" hidden="1">
      <c r="A543" s="6" t="s">
        <v>47</v>
      </c>
      <c r="B543" s="6" t="s">
        <v>48</v>
      </c>
      <c r="C543" s="33">
        <v>33</v>
      </c>
      <c r="D543" s="34">
        <v>63</v>
      </c>
      <c r="E543" s="6" t="s">
        <v>69</v>
      </c>
      <c r="F543" s="6" t="s">
        <v>59</v>
      </c>
      <c r="G543" s="6"/>
      <c r="H543" s="7" t="s">
        <v>141</v>
      </c>
      <c r="I543" s="7"/>
      <c r="J543" s="7" t="str">
        <f t="shared" si="107"/>
        <v>JAMICON</v>
      </c>
      <c r="K543" s="7" t="str">
        <f t="shared" si="100"/>
        <v>33µF 63v</v>
      </c>
      <c r="L543" s="7" t="str">
        <f t="shared" si="108"/>
        <v>SK</v>
      </c>
      <c r="M543" s="31">
        <f t="shared" si="101"/>
        <v>6.3</v>
      </c>
      <c r="N543" s="31">
        <f t="shared" si="102"/>
        <v>11</v>
      </c>
      <c r="O543" s="8" t="str">
        <f t="shared" si="103"/>
        <v>Jamicon-SK</v>
      </c>
      <c r="P543" s="12" t="str">
        <f t="shared" si="98"/>
        <v>Jamicon R-06.0x11.0</v>
      </c>
      <c r="Q543" s="12" t="str">
        <f t="shared" si="104"/>
        <v>33µF</v>
      </c>
      <c r="R543" s="12" t="str">
        <f t="shared" si="105"/>
        <v>63v</v>
      </c>
      <c r="S543" s="8" t="str">
        <f t="shared" si="99"/>
        <v>33µF 63v - R06.3-11.0 Jamicon (SK)</v>
      </c>
      <c r="T543" s="8">
        <f t="shared" si="106"/>
        <v>1</v>
      </c>
      <c r="U543" s="8" t="b">
        <f>NOT(ISNA(MATCH($P543,Packages!$A:$A,0)))</f>
        <v>1</v>
      </c>
    </row>
    <row r="544" spans="1:21" hidden="1">
      <c r="A544" s="6" t="s">
        <v>47</v>
      </c>
      <c r="B544" s="6" t="s">
        <v>48</v>
      </c>
      <c r="C544" s="33">
        <v>33</v>
      </c>
      <c r="D544" s="34">
        <v>63</v>
      </c>
      <c r="E544" s="6" t="s">
        <v>108</v>
      </c>
      <c r="F544" s="6" t="s">
        <v>59</v>
      </c>
      <c r="G544" s="6"/>
      <c r="H544" s="7" t="s">
        <v>141</v>
      </c>
      <c r="I544" s="7"/>
      <c r="J544" s="7" t="str">
        <f t="shared" si="107"/>
        <v>JAMICON</v>
      </c>
      <c r="K544" s="7" t="str">
        <f t="shared" si="100"/>
        <v>33µF 63v</v>
      </c>
      <c r="L544" s="7" t="str">
        <f t="shared" si="108"/>
        <v>SK</v>
      </c>
      <c r="M544" s="31">
        <f t="shared" si="101"/>
        <v>8</v>
      </c>
      <c r="N544" s="31">
        <f t="shared" si="102"/>
        <v>11.5</v>
      </c>
      <c r="O544" s="8" t="str">
        <f t="shared" si="103"/>
        <v>Jamicon-SK</v>
      </c>
      <c r="P544" s="12" t="str">
        <f t="shared" si="98"/>
        <v>Jamicon R-08.0x12.0</v>
      </c>
      <c r="Q544" s="12" t="str">
        <f t="shared" si="104"/>
        <v>33µF</v>
      </c>
      <c r="R544" s="12" t="str">
        <f t="shared" si="105"/>
        <v>63v</v>
      </c>
      <c r="S544" s="8" t="str">
        <f t="shared" si="99"/>
        <v>33µF 63v - R08.0-11.5 Jamicon (SK)</v>
      </c>
      <c r="T544" s="8">
        <f t="shared" si="106"/>
        <v>1</v>
      </c>
      <c r="U544" s="8" t="b">
        <f>NOT(ISNA(MATCH($P544,Packages!$A:$A,0)))</f>
        <v>1</v>
      </c>
    </row>
    <row r="545" spans="1:21" hidden="1">
      <c r="A545" s="6" t="s">
        <v>47</v>
      </c>
      <c r="B545" s="6" t="s">
        <v>48</v>
      </c>
      <c r="C545" s="33">
        <v>47</v>
      </c>
      <c r="D545" s="34">
        <v>63</v>
      </c>
      <c r="E545" s="6" t="s">
        <v>69</v>
      </c>
      <c r="F545" s="6" t="s">
        <v>59</v>
      </c>
      <c r="G545" s="6"/>
      <c r="H545" s="7" t="s">
        <v>141</v>
      </c>
      <c r="I545" s="7"/>
      <c r="J545" s="7" t="str">
        <f t="shared" si="107"/>
        <v>JAMICON</v>
      </c>
      <c r="K545" s="7" t="str">
        <f t="shared" si="100"/>
        <v>47µF 63v</v>
      </c>
      <c r="L545" s="7" t="str">
        <f t="shared" si="108"/>
        <v>SK</v>
      </c>
      <c r="M545" s="31">
        <f t="shared" si="101"/>
        <v>6.3</v>
      </c>
      <c r="N545" s="31">
        <f t="shared" si="102"/>
        <v>11</v>
      </c>
      <c r="O545" s="8" t="str">
        <f t="shared" si="103"/>
        <v>Jamicon-SK</v>
      </c>
      <c r="P545" s="12" t="str">
        <f t="shared" si="98"/>
        <v>Jamicon R-06.0x11.0</v>
      </c>
      <c r="Q545" s="12" t="str">
        <f t="shared" si="104"/>
        <v>47µF</v>
      </c>
      <c r="R545" s="12" t="str">
        <f t="shared" si="105"/>
        <v>63v</v>
      </c>
      <c r="S545" s="8" t="str">
        <f t="shared" si="99"/>
        <v>47µF 63v - R06.3-11.0 Jamicon (SK)</v>
      </c>
      <c r="T545" s="8">
        <f t="shared" si="106"/>
        <v>1</v>
      </c>
      <c r="U545" s="8" t="b">
        <f>NOT(ISNA(MATCH($P545,Packages!$A:$A,0)))</f>
        <v>1</v>
      </c>
    </row>
    <row r="546" spans="1:21" hidden="1">
      <c r="A546" s="6" t="s">
        <v>47</v>
      </c>
      <c r="B546" s="6" t="s">
        <v>48</v>
      </c>
      <c r="C546" s="33">
        <v>47</v>
      </c>
      <c r="D546" s="34">
        <v>63</v>
      </c>
      <c r="E546" s="6" t="s">
        <v>108</v>
      </c>
      <c r="F546" s="6" t="s">
        <v>59</v>
      </c>
      <c r="G546" s="6"/>
      <c r="H546" s="7" t="s">
        <v>141</v>
      </c>
      <c r="I546" s="7"/>
      <c r="J546" s="7" t="str">
        <f t="shared" si="107"/>
        <v>JAMICON</v>
      </c>
      <c r="K546" s="7" t="str">
        <f t="shared" si="100"/>
        <v>47µF 63v</v>
      </c>
      <c r="L546" s="7" t="str">
        <f t="shared" si="108"/>
        <v>SK</v>
      </c>
      <c r="M546" s="31">
        <f t="shared" si="101"/>
        <v>8</v>
      </c>
      <c r="N546" s="31">
        <f t="shared" si="102"/>
        <v>11.5</v>
      </c>
      <c r="O546" s="8" t="str">
        <f t="shared" si="103"/>
        <v>Jamicon-SK</v>
      </c>
      <c r="P546" s="12" t="str">
        <f t="shared" si="98"/>
        <v>Jamicon R-08.0x12.0</v>
      </c>
      <c r="Q546" s="12" t="str">
        <f t="shared" si="104"/>
        <v>47µF</v>
      </c>
      <c r="R546" s="12" t="str">
        <f t="shared" si="105"/>
        <v>63v</v>
      </c>
      <c r="S546" s="8" t="str">
        <f t="shared" si="99"/>
        <v>47µF 63v - R08.0-11.5 Jamicon (SK)</v>
      </c>
      <c r="T546" s="8">
        <f t="shared" si="106"/>
        <v>1</v>
      </c>
      <c r="U546" s="8" t="b">
        <f>NOT(ISNA(MATCH($P546,Packages!$A:$A,0)))</f>
        <v>1</v>
      </c>
    </row>
    <row r="547" spans="1:21" hidden="1">
      <c r="A547" s="6" t="s">
        <v>47</v>
      </c>
      <c r="B547" s="6" t="s">
        <v>48</v>
      </c>
      <c r="C547" s="33">
        <v>100</v>
      </c>
      <c r="D547" s="34">
        <v>63</v>
      </c>
      <c r="E547" s="6" t="s">
        <v>92</v>
      </c>
      <c r="F547" s="6" t="s">
        <v>59</v>
      </c>
      <c r="G547" s="6"/>
      <c r="H547" s="7" t="s">
        <v>141</v>
      </c>
      <c r="I547" s="7"/>
      <c r="J547" s="7" t="str">
        <f t="shared" si="107"/>
        <v>JAMICON</v>
      </c>
      <c r="K547" s="7" t="str">
        <f t="shared" ref="K547:K578" si="109">$Q547&amp;" "&amp;$R547</f>
        <v>100µF 63v</v>
      </c>
      <c r="L547" s="7" t="str">
        <f t="shared" si="108"/>
        <v>SK</v>
      </c>
      <c r="M547" s="31">
        <f t="shared" si="101"/>
        <v>10</v>
      </c>
      <c r="N547" s="31">
        <f t="shared" si="102"/>
        <v>12.5</v>
      </c>
      <c r="O547" s="8" t="str">
        <f t="shared" si="103"/>
        <v>Jamicon-SK</v>
      </c>
      <c r="P547" s="12" t="str">
        <f t="shared" si="98"/>
        <v>Jamicon R-10.0x13.0</v>
      </c>
      <c r="Q547" s="12" t="str">
        <f t="shared" si="104"/>
        <v>100µF</v>
      </c>
      <c r="R547" s="12" t="str">
        <f t="shared" si="105"/>
        <v>63v</v>
      </c>
      <c r="S547" s="8" t="str">
        <f t="shared" si="99"/>
        <v>100µF 63v - R10.0-12.5 Jamicon (SK)</v>
      </c>
      <c r="T547" s="8">
        <f t="shared" si="106"/>
        <v>1</v>
      </c>
      <c r="U547" s="8" t="b">
        <f>NOT(ISNA(MATCH($P547,Packages!$A:$A,0)))</f>
        <v>1</v>
      </c>
    </row>
    <row r="548" spans="1:21" hidden="1">
      <c r="A548" s="6" t="s">
        <v>47</v>
      </c>
      <c r="B548" s="6" t="s">
        <v>48</v>
      </c>
      <c r="C548" s="33">
        <v>100</v>
      </c>
      <c r="D548" s="34">
        <v>63</v>
      </c>
      <c r="E548" s="6" t="s">
        <v>74</v>
      </c>
      <c r="F548" s="6" t="s">
        <v>59</v>
      </c>
      <c r="G548" s="6"/>
      <c r="H548" s="7" t="s">
        <v>141</v>
      </c>
      <c r="I548" s="7"/>
      <c r="J548" s="7" t="str">
        <f t="shared" si="107"/>
        <v>JAMICON</v>
      </c>
      <c r="K548" s="7" t="str">
        <f t="shared" si="109"/>
        <v>100µF 63v</v>
      </c>
      <c r="L548" s="7" t="str">
        <f t="shared" si="108"/>
        <v>SK</v>
      </c>
      <c r="M548" s="31">
        <f t="shared" si="101"/>
        <v>10</v>
      </c>
      <c r="N548" s="31">
        <f t="shared" si="102"/>
        <v>16</v>
      </c>
      <c r="O548" s="8" t="str">
        <f t="shared" si="103"/>
        <v>Jamicon-SK</v>
      </c>
      <c r="P548" s="12" t="str">
        <f t="shared" si="98"/>
        <v>Jamicon R-10.0x16.0</v>
      </c>
      <c r="Q548" s="12" t="str">
        <f t="shared" si="104"/>
        <v>100µF</v>
      </c>
      <c r="R548" s="12" t="str">
        <f t="shared" si="105"/>
        <v>63v</v>
      </c>
      <c r="S548" s="8" t="str">
        <f t="shared" si="99"/>
        <v>100µF 63v - R10.0-16.0 Jamicon (SK)</v>
      </c>
      <c r="T548" s="8">
        <f t="shared" si="106"/>
        <v>1</v>
      </c>
      <c r="U548" s="8" t="b">
        <f>NOT(ISNA(MATCH($P548,Packages!$A:$A,0)))</f>
        <v>1</v>
      </c>
    </row>
    <row r="549" spans="1:21" hidden="1">
      <c r="A549" s="6" t="s">
        <v>47</v>
      </c>
      <c r="B549" s="6" t="s">
        <v>48</v>
      </c>
      <c r="C549" s="33">
        <v>220</v>
      </c>
      <c r="D549" s="34">
        <v>63</v>
      </c>
      <c r="E549" s="6" t="s">
        <v>74</v>
      </c>
      <c r="F549" s="6" t="s">
        <v>59</v>
      </c>
      <c r="G549" s="6"/>
      <c r="H549" s="7" t="s">
        <v>141</v>
      </c>
      <c r="I549" s="7"/>
      <c r="J549" s="7" t="str">
        <f t="shared" si="107"/>
        <v>JAMICON</v>
      </c>
      <c r="K549" s="7" t="str">
        <f t="shared" si="109"/>
        <v>220µF 63v</v>
      </c>
      <c r="L549" s="7" t="str">
        <f t="shared" si="108"/>
        <v>SK</v>
      </c>
      <c r="M549" s="31">
        <f t="shared" si="101"/>
        <v>10</v>
      </c>
      <c r="N549" s="31">
        <f t="shared" si="102"/>
        <v>16</v>
      </c>
      <c r="O549" s="8" t="str">
        <f t="shared" si="103"/>
        <v>Jamicon-SK</v>
      </c>
      <c r="P549" s="12" t="str">
        <f t="shared" si="98"/>
        <v>Jamicon R-10.0x16.0</v>
      </c>
      <c r="Q549" s="12" t="str">
        <f t="shared" si="104"/>
        <v>220µF</v>
      </c>
      <c r="R549" s="12" t="str">
        <f t="shared" si="105"/>
        <v>63v</v>
      </c>
      <c r="S549" s="8" t="str">
        <f t="shared" si="99"/>
        <v>220µF 63v - R10.0-16.0 Jamicon (SK)</v>
      </c>
      <c r="T549" s="8">
        <f t="shared" si="106"/>
        <v>1</v>
      </c>
      <c r="U549" s="8" t="b">
        <f>NOT(ISNA(MATCH($P549,Packages!$A:$A,0)))</f>
        <v>1</v>
      </c>
    </row>
    <row r="550" spans="1:21" hidden="1">
      <c r="A550" s="6" t="s">
        <v>47</v>
      </c>
      <c r="B550" s="6" t="s">
        <v>48</v>
      </c>
      <c r="C550" s="33">
        <v>220</v>
      </c>
      <c r="D550" s="34">
        <v>63</v>
      </c>
      <c r="E550" s="6" t="s">
        <v>94</v>
      </c>
      <c r="F550" s="6" t="s">
        <v>59</v>
      </c>
      <c r="G550" s="6"/>
      <c r="H550" s="7" t="s">
        <v>141</v>
      </c>
      <c r="I550" s="7"/>
      <c r="J550" s="7" t="str">
        <f t="shared" si="107"/>
        <v>JAMICON</v>
      </c>
      <c r="K550" s="7" t="str">
        <f t="shared" si="109"/>
        <v>220µF 63v</v>
      </c>
      <c r="L550" s="7" t="str">
        <f t="shared" si="108"/>
        <v>SK</v>
      </c>
      <c r="M550" s="31">
        <f t="shared" si="101"/>
        <v>10</v>
      </c>
      <c r="N550" s="31">
        <f t="shared" si="102"/>
        <v>20</v>
      </c>
      <c r="O550" s="8" t="str">
        <f t="shared" si="103"/>
        <v>Jamicon-SK</v>
      </c>
      <c r="P550" s="12" t="str">
        <f t="shared" si="98"/>
        <v>Jamicon R-10.0x20.0</v>
      </c>
      <c r="Q550" s="12" t="str">
        <f t="shared" si="104"/>
        <v>220µF</v>
      </c>
      <c r="R550" s="12" t="str">
        <f t="shared" si="105"/>
        <v>63v</v>
      </c>
      <c r="S550" s="8" t="str">
        <f t="shared" si="99"/>
        <v>220µF 63v - R10.0-20.0 Jamicon (SK)</v>
      </c>
      <c r="T550" s="8">
        <f t="shared" si="106"/>
        <v>1</v>
      </c>
      <c r="U550" s="8" t="b">
        <f>NOT(ISNA(MATCH($P550,Packages!$A:$A,0)))</f>
        <v>1</v>
      </c>
    </row>
    <row r="551" spans="1:21" hidden="1">
      <c r="A551" s="6" t="s">
        <v>47</v>
      </c>
      <c r="B551" s="6" t="s">
        <v>48</v>
      </c>
      <c r="C551" s="33">
        <v>330</v>
      </c>
      <c r="D551" s="34">
        <v>63</v>
      </c>
      <c r="E551" s="6" t="s">
        <v>94</v>
      </c>
      <c r="F551" s="6" t="s">
        <v>59</v>
      </c>
      <c r="G551" s="6"/>
      <c r="H551" s="7" t="s">
        <v>141</v>
      </c>
      <c r="I551" s="7"/>
      <c r="J551" s="7" t="str">
        <f t="shared" si="107"/>
        <v>JAMICON</v>
      </c>
      <c r="K551" s="7" t="str">
        <f t="shared" si="109"/>
        <v>330µF 63v</v>
      </c>
      <c r="L551" s="7" t="str">
        <f t="shared" si="108"/>
        <v>SK</v>
      </c>
      <c r="M551" s="31">
        <f t="shared" si="101"/>
        <v>10</v>
      </c>
      <c r="N551" s="31">
        <f t="shared" si="102"/>
        <v>20</v>
      </c>
      <c r="O551" s="8" t="str">
        <f t="shared" si="103"/>
        <v>Jamicon-SK</v>
      </c>
      <c r="P551" s="12" t="str">
        <f t="shared" si="98"/>
        <v>Jamicon R-10.0x20.0</v>
      </c>
      <c r="Q551" s="12" t="str">
        <f t="shared" si="104"/>
        <v>330µF</v>
      </c>
      <c r="R551" s="12" t="str">
        <f t="shared" si="105"/>
        <v>63v</v>
      </c>
      <c r="S551" s="8" t="str">
        <f t="shared" si="99"/>
        <v>330µF 63v - R10.0-20.0 Jamicon (SK)</v>
      </c>
      <c r="T551" s="8">
        <f t="shared" si="106"/>
        <v>1</v>
      </c>
      <c r="U551" s="8" t="b">
        <f>NOT(ISNA(MATCH($P551,Packages!$A:$A,0)))</f>
        <v>1</v>
      </c>
    </row>
    <row r="552" spans="1:21" hidden="1">
      <c r="A552" s="6" t="s">
        <v>47</v>
      </c>
      <c r="B552" s="6" t="s">
        <v>48</v>
      </c>
      <c r="C552" s="33">
        <v>330</v>
      </c>
      <c r="D552" s="34">
        <v>63</v>
      </c>
      <c r="E552" s="6" t="s">
        <v>95</v>
      </c>
      <c r="F552" s="6" t="s">
        <v>59</v>
      </c>
      <c r="G552" s="6"/>
      <c r="H552" s="7" t="s">
        <v>141</v>
      </c>
      <c r="I552" s="7"/>
      <c r="J552" s="7" t="str">
        <f t="shared" si="107"/>
        <v>JAMICON</v>
      </c>
      <c r="K552" s="7" t="str">
        <f t="shared" si="109"/>
        <v>330µF 63v</v>
      </c>
      <c r="L552" s="7" t="str">
        <f t="shared" si="108"/>
        <v>SK</v>
      </c>
      <c r="M552" s="31">
        <f t="shared" si="101"/>
        <v>12.5</v>
      </c>
      <c r="N552" s="31">
        <f t="shared" si="102"/>
        <v>20</v>
      </c>
      <c r="O552" s="8" t="str">
        <f t="shared" si="103"/>
        <v>Jamicon-SK</v>
      </c>
      <c r="P552" s="12" t="str">
        <f t="shared" si="98"/>
        <v>Jamicon R-13.0x20.0</v>
      </c>
      <c r="Q552" s="12" t="str">
        <f t="shared" si="104"/>
        <v>330µF</v>
      </c>
      <c r="R552" s="12" t="str">
        <f t="shared" si="105"/>
        <v>63v</v>
      </c>
      <c r="S552" s="8" t="str">
        <f t="shared" si="99"/>
        <v>330µF 63v - R12.5-20.0 Jamicon (SK)</v>
      </c>
      <c r="T552" s="8">
        <f t="shared" si="106"/>
        <v>1</v>
      </c>
      <c r="U552" s="8" t="b">
        <f>NOT(ISNA(MATCH($P552,Packages!$A:$A,0)))</f>
        <v>1</v>
      </c>
    </row>
    <row r="553" spans="1:21" hidden="1">
      <c r="A553" s="6" t="s">
        <v>47</v>
      </c>
      <c r="B553" s="6" t="s">
        <v>48</v>
      </c>
      <c r="C553" s="33">
        <v>470</v>
      </c>
      <c r="D553" s="34">
        <v>63</v>
      </c>
      <c r="E553" s="6" t="s">
        <v>95</v>
      </c>
      <c r="F553" s="6" t="s">
        <v>59</v>
      </c>
      <c r="G553" s="6"/>
      <c r="H553" s="7" t="s">
        <v>141</v>
      </c>
      <c r="I553" s="7"/>
      <c r="J553" s="7" t="str">
        <f t="shared" si="107"/>
        <v>JAMICON</v>
      </c>
      <c r="K553" s="7" t="str">
        <f t="shared" si="109"/>
        <v>470µF 63v</v>
      </c>
      <c r="L553" s="7" t="str">
        <f t="shared" si="108"/>
        <v>SK</v>
      </c>
      <c r="M553" s="31">
        <f t="shared" si="101"/>
        <v>12.5</v>
      </c>
      <c r="N553" s="31">
        <f t="shared" si="102"/>
        <v>20</v>
      </c>
      <c r="O553" s="8" t="str">
        <f t="shared" si="103"/>
        <v>Jamicon-SK</v>
      </c>
      <c r="P553" s="12" t="str">
        <f t="shared" si="98"/>
        <v>Jamicon R-13.0x20.0</v>
      </c>
      <c r="Q553" s="12" t="str">
        <f t="shared" si="104"/>
        <v>470µF</v>
      </c>
      <c r="R553" s="12" t="str">
        <f t="shared" si="105"/>
        <v>63v</v>
      </c>
      <c r="S553" s="8" t="str">
        <f t="shared" si="99"/>
        <v>470µF 63v - R12.5-20.0 Jamicon (SK)</v>
      </c>
      <c r="T553" s="8">
        <f t="shared" si="106"/>
        <v>1</v>
      </c>
      <c r="U553" s="8" t="b">
        <f>NOT(ISNA(MATCH($P553,Packages!$A:$A,0)))</f>
        <v>1</v>
      </c>
    </row>
    <row r="554" spans="1:21" hidden="1">
      <c r="A554" s="6" t="s">
        <v>47</v>
      </c>
      <c r="B554" s="6" t="s">
        <v>48</v>
      </c>
      <c r="C554" s="33">
        <v>470</v>
      </c>
      <c r="D554" s="34">
        <v>63</v>
      </c>
      <c r="E554" s="6" t="s">
        <v>96</v>
      </c>
      <c r="F554" s="6" t="s">
        <v>59</v>
      </c>
      <c r="G554" s="6"/>
      <c r="H554" s="7" t="s">
        <v>141</v>
      </c>
      <c r="I554" s="7"/>
      <c r="J554" s="7" t="str">
        <f t="shared" si="107"/>
        <v>JAMICON</v>
      </c>
      <c r="K554" s="7" t="str">
        <f t="shared" si="109"/>
        <v>470µF 63v</v>
      </c>
      <c r="L554" s="7" t="str">
        <f t="shared" si="108"/>
        <v>SK</v>
      </c>
      <c r="M554" s="31">
        <f t="shared" si="101"/>
        <v>12.5</v>
      </c>
      <c r="N554" s="31">
        <f t="shared" si="102"/>
        <v>25</v>
      </c>
      <c r="O554" s="8" t="str">
        <f t="shared" si="103"/>
        <v>Jamicon-SK</v>
      </c>
      <c r="P554" s="12" t="str">
        <f t="shared" si="98"/>
        <v>Jamicon R-13.0x25.0</v>
      </c>
      <c r="Q554" s="12" t="str">
        <f t="shared" si="104"/>
        <v>470µF</v>
      </c>
      <c r="R554" s="12" t="str">
        <f t="shared" si="105"/>
        <v>63v</v>
      </c>
      <c r="S554" s="8" t="str">
        <f t="shared" si="99"/>
        <v>470µF 63v - R12.5-25.0 Jamicon (SK)</v>
      </c>
      <c r="T554" s="8">
        <f t="shared" si="106"/>
        <v>1</v>
      </c>
      <c r="U554" s="8" t="b">
        <f>NOT(ISNA(MATCH($P554,Packages!$A:$A,0)))</f>
        <v>1</v>
      </c>
    </row>
    <row r="555" spans="1:21" hidden="1">
      <c r="A555" s="6" t="s">
        <v>47</v>
      </c>
      <c r="B555" s="6" t="s">
        <v>48</v>
      </c>
      <c r="C555" s="33">
        <v>1000</v>
      </c>
      <c r="D555" s="34">
        <v>63</v>
      </c>
      <c r="E555" s="6" t="s">
        <v>97</v>
      </c>
      <c r="F555" s="6" t="s">
        <v>59</v>
      </c>
      <c r="G555" s="6"/>
      <c r="H555" s="7" t="s">
        <v>141</v>
      </c>
      <c r="I555" s="7"/>
      <c r="J555" s="7" t="str">
        <f t="shared" si="107"/>
        <v>JAMICON</v>
      </c>
      <c r="K555" s="7" t="str">
        <f t="shared" si="109"/>
        <v>1000µF 63v</v>
      </c>
      <c r="L555" s="7" t="str">
        <f t="shared" si="108"/>
        <v>SK</v>
      </c>
      <c r="M555" s="31">
        <f t="shared" si="101"/>
        <v>16</v>
      </c>
      <c r="N555" s="31">
        <f t="shared" si="102"/>
        <v>25</v>
      </c>
      <c r="O555" s="8" t="str">
        <f t="shared" si="103"/>
        <v>Jamicon-SK</v>
      </c>
      <c r="P555" s="12" t="str">
        <f t="shared" si="98"/>
        <v>Jamicon R-16.0x25.0</v>
      </c>
      <c r="Q555" s="12" t="str">
        <f t="shared" si="104"/>
        <v>1000µF</v>
      </c>
      <c r="R555" s="12" t="str">
        <f t="shared" si="105"/>
        <v>63v</v>
      </c>
      <c r="S555" s="8" t="str">
        <f t="shared" si="99"/>
        <v>1000µF 63v - R16.0-25.0 Jamicon (SK)</v>
      </c>
      <c r="T555" s="8">
        <f t="shared" si="106"/>
        <v>1</v>
      </c>
      <c r="U555" s="8" t="b">
        <f>NOT(ISNA(MATCH($P555,Packages!$A:$A,0)))</f>
        <v>1</v>
      </c>
    </row>
    <row r="556" spans="1:21" hidden="1">
      <c r="A556" s="6" t="s">
        <v>47</v>
      </c>
      <c r="B556" s="6" t="s">
        <v>48</v>
      </c>
      <c r="C556" s="33">
        <v>1000</v>
      </c>
      <c r="D556" s="34">
        <v>63</v>
      </c>
      <c r="E556" s="6" t="s">
        <v>98</v>
      </c>
      <c r="F556" s="6" t="s">
        <v>59</v>
      </c>
      <c r="G556" s="6"/>
      <c r="H556" s="7" t="s">
        <v>141</v>
      </c>
      <c r="I556" s="7"/>
      <c r="J556" s="7" t="str">
        <f t="shared" si="107"/>
        <v>JAMICON</v>
      </c>
      <c r="K556" s="7" t="str">
        <f t="shared" si="109"/>
        <v>1000µF 63v</v>
      </c>
      <c r="L556" s="7" t="str">
        <f t="shared" si="108"/>
        <v>SK</v>
      </c>
      <c r="M556" s="31">
        <f t="shared" si="101"/>
        <v>16</v>
      </c>
      <c r="N556" s="31">
        <f t="shared" si="102"/>
        <v>31.5</v>
      </c>
      <c r="O556" s="8" t="str">
        <f t="shared" si="103"/>
        <v>Jamicon-SK</v>
      </c>
      <c r="P556" s="12" t="str">
        <f t="shared" si="98"/>
        <v>Jamicon R-16.0x32.0</v>
      </c>
      <c r="Q556" s="12" t="str">
        <f t="shared" si="104"/>
        <v>1000µF</v>
      </c>
      <c r="R556" s="12" t="str">
        <f t="shared" si="105"/>
        <v>63v</v>
      </c>
      <c r="S556" s="8" t="str">
        <f t="shared" si="99"/>
        <v>1000µF 63v - R16.0-31.5 Jamicon (SK)</v>
      </c>
      <c r="T556" s="8">
        <f t="shared" si="106"/>
        <v>1</v>
      </c>
      <c r="U556" s="8" t="b">
        <f>NOT(ISNA(MATCH($P556,Packages!$A:$A,0)))</f>
        <v>1</v>
      </c>
    </row>
    <row r="557" spans="1:21" hidden="1">
      <c r="A557" s="6" t="s">
        <v>47</v>
      </c>
      <c r="B557" s="6" t="s">
        <v>48</v>
      </c>
      <c r="C557" s="33">
        <v>2200</v>
      </c>
      <c r="D557" s="34">
        <v>63</v>
      </c>
      <c r="E557" s="6" t="s">
        <v>103</v>
      </c>
      <c r="F557" s="6" t="s">
        <v>59</v>
      </c>
      <c r="G557" s="6"/>
      <c r="H557" s="7" t="s">
        <v>141</v>
      </c>
      <c r="I557" s="7"/>
      <c r="J557" s="7" t="str">
        <f t="shared" si="107"/>
        <v>JAMICON</v>
      </c>
      <c r="K557" s="7" t="str">
        <f t="shared" si="109"/>
        <v>2200µF 63v</v>
      </c>
      <c r="L557" s="7" t="str">
        <f t="shared" si="108"/>
        <v>SK</v>
      </c>
      <c r="M557" s="31">
        <f t="shared" si="101"/>
        <v>22</v>
      </c>
      <c r="N557" s="31">
        <f t="shared" si="102"/>
        <v>35</v>
      </c>
      <c r="O557" s="8" t="str">
        <f t="shared" si="103"/>
        <v>Jamicon-SK</v>
      </c>
      <c r="P557" s="12" t="str">
        <f t="shared" si="98"/>
        <v>Jamicon R-22.0x35.0</v>
      </c>
      <c r="Q557" s="12" t="str">
        <f t="shared" si="104"/>
        <v>2200µF</v>
      </c>
      <c r="R557" s="12" t="str">
        <f t="shared" si="105"/>
        <v>63v</v>
      </c>
      <c r="S557" s="8" t="str">
        <f t="shared" si="99"/>
        <v>2200µF 63v - R22.0-35.0 Jamicon (SK)</v>
      </c>
      <c r="T557" s="8">
        <f t="shared" si="106"/>
        <v>1</v>
      </c>
      <c r="U557" s="8" t="b">
        <f>NOT(ISNA(MATCH($P557,Packages!$A:$A,0)))</f>
        <v>1</v>
      </c>
    </row>
    <row r="558" spans="1:21" hidden="1">
      <c r="A558" s="6" t="s">
        <v>47</v>
      </c>
      <c r="B558" s="6" t="s">
        <v>48</v>
      </c>
      <c r="C558" s="33">
        <v>3300</v>
      </c>
      <c r="D558" s="34">
        <v>63</v>
      </c>
      <c r="E558" s="6" t="s">
        <v>106</v>
      </c>
      <c r="F558" s="6" t="s">
        <v>59</v>
      </c>
      <c r="G558" s="6"/>
      <c r="H558" s="7" t="s">
        <v>141</v>
      </c>
      <c r="I558" s="7"/>
      <c r="J558" s="7" t="str">
        <f t="shared" si="107"/>
        <v>JAMICON</v>
      </c>
      <c r="K558" s="7" t="str">
        <f t="shared" si="109"/>
        <v>3300µF 63v</v>
      </c>
      <c r="L558" s="7" t="str">
        <f t="shared" si="108"/>
        <v>SK</v>
      </c>
      <c r="M558" s="31">
        <f t="shared" si="101"/>
        <v>22</v>
      </c>
      <c r="N558" s="31">
        <f t="shared" si="102"/>
        <v>50</v>
      </c>
      <c r="O558" s="8" t="str">
        <f t="shared" si="103"/>
        <v>Jamicon-SK</v>
      </c>
      <c r="P558" s="12" t="str">
        <f t="shared" si="98"/>
        <v>Jamicon R-22.0x50.0</v>
      </c>
      <c r="Q558" s="12" t="str">
        <f t="shared" si="104"/>
        <v>3300µF</v>
      </c>
      <c r="R558" s="12" t="str">
        <f t="shared" si="105"/>
        <v>63v</v>
      </c>
      <c r="S558" s="8" t="str">
        <f t="shared" si="99"/>
        <v>3300µF 63v - R22.0-50.0 Jamicon (SK)</v>
      </c>
      <c r="T558" s="8">
        <f t="shared" si="106"/>
        <v>1</v>
      </c>
      <c r="U558" s="8" t="b">
        <f>NOT(ISNA(MATCH($P558,Packages!$A:$A,0)))</f>
        <v>1</v>
      </c>
    </row>
    <row r="559" spans="1:21" hidden="1">
      <c r="A559" s="6" t="s">
        <v>47</v>
      </c>
      <c r="B559" s="6" t="s">
        <v>48</v>
      </c>
      <c r="C559" s="33">
        <v>4700</v>
      </c>
      <c r="D559" s="34">
        <v>63</v>
      </c>
      <c r="E559" s="6" t="s">
        <v>86</v>
      </c>
      <c r="F559" s="6" t="s">
        <v>59</v>
      </c>
      <c r="G559" s="6"/>
      <c r="H559" s="7" t="s">
        <v>141</v>
      </c>
      <c r="I559" s="7"/>
      <c r="J559" s="7" t="str">
        <f t="shared" si="107"/>
        <v>JAMICON</v>
      </c>
      <c r="K559" s="7" t="str">
        <f t="shared" si="109"/>
        <v>4700µF 63v</v>
      </c>
      <c r="L559" s="7" t="str">
        <f t="shared" si="108"/>
        <v>SK</v>
      </c>
      <c r="M559" s="31">
        <f t="shared" si="101"/>
        <v>25</v>
      </c>
      <c r="N559" s="31">
        <f t="shared" si="102"/>
        <v>50</v>
      </c>
      <c r="O559" s="8" t="str">
        <f t="shared" si="103"/>
        <v>Jamicon-SK</v>
      </c>
      <c r="P559" s="12" t="str">
        <f t="shared" si="98"/>
        <v>Jamicon R-25.0x50.0</v>
      </c>
      <c r="Q559" s="12" t="str">
        <f t="shared" si="104"/>
        <v>4700µF</v>
      </c>
      <c r="R559" s="12" t="str">
        <f t="shared" si="105"/>
        <v>63v</v>
      </c>
      <c r="S559" s="8" t="str">
        <f t="shared" si="99"/>
        <v>4700µF 63v - R25.0-50.0 Jamicon (SK)</v>
      </c>
      <c r="T559" s="8">
        <f t="shared" si="106"/>
        <v>1</v>
      </c>
      <c r="U559" s="8" t="b">
        <f>NOT(ISNA(MATCH($P559,Packages!$A:$A,0)))</f>
        <v>1</v>
      </c>
    </row>
    <row r="560" spans="1:21" hidden="1">
      <c r="A560" s="6" t="s">
        <v>47</v>
      </c>
      <c r="B560" s="6" t="s">
        <v>48</v>
      </c>
      <c r="C560" s="33">
        <v>0.47</v>
      </c>
      <c r="D560" s="34">
        <v>100</v>
      </c>
      <c r="E560" s="6" t="s">
        <v>68</v>
      </c>
      <c r="F560" s="6" t="s">
        <v>59</v>
      </c>
      <c r="G560" s="6"/>
      <c r="H560" s="7" t="s">
        <v>141</v>
      </c>
      <c r="I560" s="7"/>
      <c r="J560" s="7" t="str">
        <f t="shared" si="107"/>
        <v>JAMICON</v>
      </c>
      <c r="K560" s="7" t="str">
        <f t="shared" si="109"/>
        <v>0.47µF 100v</v>
      </c>
      <c r="L560" s="7" t="str">
        <f t="shared" si="108"/>
        <v>SK</v>
      </c>
      <c r="M560" s="31">
        <f t="shared" si="101"/>
        <v>5</v>
      </c>
      <c r="N560" s="31">
        <f t="shared" si="102"/>
        <v>11</v>
      </c>
      <c r="O560" s="8" t="str">
        <f t="shared" si="103"/>
        <v>Jamicon-SK</v>
      </c>
      <c r="P560" s="12" t="str">
        <f t="shared" si="98"/>
        <v>Jamicon R-05.0x11.0</v>
      </c>
      <c r="Q560" s="12" t="str">
        <f t="shared" si="104"/>
        <v>0.47µF</v>
      </c>
      <c r="R560" s="12" t="str">
        <f t="shared" si="105"/>
        <v>100v</v>
      </c>
      <c r="S560" s="8" t="str">
        <f t="shared" si="99"/>
        <v>0.47µF 100v - R05.0-11.0 Jamicon (SK)</v>
      </c>
      <c r="T560" s="8">
        <f t="shared" si="106"/>
        <v>1</v>
      </c>
      <c r="U560" s="8" t="b">
        <f>NOT(ISNA(MATCH($P560,Packages!$A:$A,0)))</f>
        <v>1</v>
      </c>
    </row>
    <row r="561" spans="1:21" hidden="1">
      <c r="A561" s="6" t="s">
        <v>47</v>
      </c>
      <c r="B561" s="6" t="s">
        <v>48</v>
      </c>
      <c r="C561" s="33">
        <v>1</v>
      </c>
      <c r="D561" s="34">
        <v>100</v>
      </c>
      <c r="E561" s="6" t="s">
        <v>68</v>
      </c>
      <c r="F561" s="6" t="s">
        <v>59</v>
      </c>
      <c r="G561" s="6"/>
      <c r="H561" s="7" t="s">
        <v>141</v>
      </c>
      <c r="I561" s="7"/>
      <c r="J561" s="7" t="str">
        <f t="shared" si="107"/>
        <v>JAMICON</v>
      </c>
      <c r="K561" s="7" t="str">
        <f t="shared" si="109"/>
        <v>1µF 100v</v>
      </c>
      <c r="L561" s="7" t="str">
        <f t="shared" si="108"/>
        <v>SK</v>
      </c>
      <c r="M561" s="31">
        <f t="shared" si="101"/>
        <v>5</v>
      </c>
      <c r="N561" s="31">
        <f t="shared" si="102"/>
        <v>11</v>
      </c>
      <c r="O561" s="8" t="str">
        <f t="shared" si="103"/>
        <v>Jamicon-SK</v>
      </c>
      <c r="P561" s="12" t="str">
        <f t="shared" si="98"/>
        <v>Jamicon R-05.0x11.0</v>
      </c>
      <c r="Q561" s="12" t="str">
        <f t="shared" si="104"/>
        <v>1µF</v>
      </c>
      <c r="R561" s="12" t="str">
        <f t="shared" si="105"/>
        <v>100v</v>
      </c>
      <c r="S561" s="8" t="str">
        <f t="shared" si="99"/>
        <v>1µF 100v - R05.0-11.0 Jamicon (SK)</v>
      </c>
      <c r="T561" s="8">
        <f t="shared" si="106"/>
        <v>1</v>
      </c>
      <c r="U561" s="8" t="b">
        <f>NOT(ISNA(MATCH($P561,Packages!$A:$A,0)))</f>
        <v>1</v>
      </c>
    </row>
    <row r="562" spans="1:21" hidden="1">
      <c r="A562" s="6" t="s">
        <v>47</v>
      </c>
      <c r="B562" s="6" t="s">
        <v>48</v>
      </c>
      <c r="C562" s="33">
        <v>2.2000000000000002</v>
      </c>
      <c r="D562" s="34">
        <v>100</v>
      </c>
      <c r="E562" s="6" t="s">
        <v>68</v>
      </c>
      <c r="F562" s="6" t="s">
        <v>59</v>
      </c>
      <c r="G562" s="6"/>
      <c r="H562" s="7" t="s">
        <v>141</v>
      </c>
      <c r="I562" s="7"/>
      <c r="J562" s="7" t="str">
        <f t="shared" si="107"/>
        <v>JAMICON</v>
      </c>
      <c r="K562" s="7" t="str">
        <f t="shared" si="109"/>
        <v>2.2µF 100v</v>
      </c>
      <c r="L562" s="7" t="str">
        <f t="shared" si="108"/>
        <v>SK</v>
      </c>
      <c r="M562" s="31">
        <f t="shared" si="101"/>
        <v>5</v>
      </c>
      <c r="N562" s="31">
        <f t="shared" si="102"/>
        <v>11</v>
      </c>
      <c r="O562" s="8" t="str">
        <f t="shared" si="103"/>
        <v>Jamicon-SK</v>
      </c>
      <c r="P562" s="12" t="str">
        <f t="shared" si="98"/>
        <v>Jamicon R-05.0x11.0</v>
      </c>
      <c r="Q562" s="12" t="str">
        <f t="shared" si="104"/>
        <v>2.2µF</v>
      </c>
      <c r="R562" s="12" t="str">
        <f t="shared" si="105"/>
        <v>100v</v>
      </c>
      <c r="S562" s="8" t="str">
        <f t="shared" si="99"/>
        <v>2.2µF 100v - R05.0-11.0 Jamicon (SK)</v>
      </c>
      <c r="T562" s="8">
        <f t="shared" si="106"/>
        <v>1</v>
      </c>
      <c r="U562" s="8" t="b">
        <f>NOT(ISNA(MATCH($P562,Packages!$A:$A,0)))</f>
        <v>1</v>
      </c>
    </row>
    <row r="563" spans="1:21" hidden="1">
      <c r="A563" s="6" t="s">
        <v>47</v>
      </c>
      <c r="B563" s="6" t="s">
        <v>48</v>
      </c>
      <c r="C563" s="33">
        <v>3.3</v>
      </c>
      <c r="D563" s="34">
        <v>100</v>
      </c>
      <c r="E563" s="6" t="s">
        <v>68</v>
      </c>
      <c r="F563" s="6" t="s">
        <v>59</v>
      </c>
      <c r="G563" s="6"/>
      <c r="H563" s="7" t="s">
        <v>141</v>
      </c>
      <c r="I563" s="7"/>
      <c r="J563" s="7" t="str">
        <f t="shared" si="107"/>
        <v>JAMICON</v>
      </c>
      <c r="K563" s="7" t="str">
        <f t="shared" si="109"/>
        <v>3.3µF 100v</v>
      </c>
      <c r="L563" s="7" t="str">
        <f t="shared" si="108"/>
        <v>SK</v>
      </c>
      <c r="M563" s="31">
        <f t="shared" si="101"/>
        <v>5</v>
      </c>
      <c r="N563" s="31">
        <f t="shared" si="102"/>
        <v>11</v>
      </c>
      <c r="O563" s="8" t="str">
        <f t="shared" si="103"/>
        <v>Jamicon-SK</v>
      </c>
      <c r="P563" s="12" t="str">
        <f t="shared" si="98"/>
        <v>Jamicon R-05.0x11.0</v>
      </c>
      <c r="Q563" s="12" t="str">
        <f t="shared" si="104"/>
        <v>3.3µF</v>
      </c>
      <c r="R563" s="12" t="str">
        <f t="shared" si="105"/>
        <v>100v</v>
      </c>
      <c r="S563" s="8" t="str">
        <f t="shared" si="99"/>
        <v>3.3µF 100v - R05.0-11.0 Jamicon (SK)</v>
      </c>
      <c r="T563" s="8">
        <f t="shared" si="106"/>
        <v>1</v>
      </c>
      <c r="U563" s="8" t="b">
        <f>NOT(ISNA(MATCH($P563,Packages!$A:$A,0)))</f>
        <v>1</v>
      </c>
    </row>
    <row r="564" spans="1:21" hidden="1">
      <c r="A564" s="6" t="s">
        <v>47</v>
      </c>
      <c r="B564" s="6" t="s">
        <v>48</v>
      </c>
      <c r="C564" s="33">
        <v>4.7</v>
      </c>
      <c r="D564" s="34">
        <v>100</v>
      </c>
      <c r="E564" s="6" t="s">
        <v>68</v>
      </c>
      <c r="F564" s="6" t="s">
        <v>59</v>
      </c>
      <c r="G564" s="6"/>
      <c r="H564" s="7" t="s">
        <v>141</v>
      </c>
      <c r="I564" s="7"/>
      <c r="J564" s="7" t="str">
        <f t="shared" si="107"/>
        <v>JAMICON</v>
      </c>
      <c r="K564" s="7" t="str">
        <f t="shared" si="109"/>
        <v>4.7µF 100v</v>
      </c>
      <c r="L564" s="7" t="str">
        <f t="shared" si="108"/>
        <v>SK</v>
      </c>
      <c r="M564" s="31">
        <f t="shared" si="101"/>
        <v>5</v>
      </c>
      <c r="N564" s="31">
        <f t="shared" si="102"/>
        <v>11</v>
      </c>
      <c r="O564" s="8" t="str">
        <f t="shared" si="103"/>
        <v>Jamicon-SK</v>
      </c>
      <c r="P564" s="12" t="str">
        <f t="shared" si="98"/>
        <v>Jamicon R-05.0x11.0</v>
      </c>
      <c r="Q564" s="12" t="str">
        <f t="shared" si="104"/>
        <v>4.7µF</v>
      </c>
      <c r="R564" s="12" t="str">
        <f t="shared" si="105"/>
        <v>100v</v>
      </c>
      <c r="S564" s="8" t="str">
        <f t="shared" si="99"/>
        <v>4.7µF 100v - R05.0-11.0 Jamicon (SK)</v>
      </c>
      <c r="T564" s="8">
        <f t="shared" si="106"/>
        <v>1</v>
      </c>
      <c r="U564" s="8" t="b">
        <f>NOT(ISNA(MATCH($P564,Packages!$A:$A,0)))</f>
        <v>1</v>
      </c>
    </row>
    <row r="565" spans="1:21" hidden="1">
      <c r="A565" s="6" t="s">
        <v>47</v>
      </c>
      <c r="B565" s="6" t="s">
        <v>48</v>
      </c>
      <c r="C565" s="33">
        <v>10</v>
      </c>
      <c r="D565" s="34">
        <v>100</v>
      </c>
      <c r="E565" s="6" t="s">
        <v>69</v>
      </c>
      <c r="F565" s="6" t="s">
        <v>59</v>
      </c>
      <c r="G565" s="6"/>
      <c r="H565" s="7" t="s">
        <v>141</v>
      </c>
      <c r="I565" s="7"/>
      <c r="J565" s="7" t="str">
        <f t="shared" si="107"/>
        <v>JAMICON</v>
      </c>
      <c r="K565" s="7" t="str">
        <f t="shared" si="109"/>
        <v>10µF 100v</v>
      </c>
      <c r="L565" s="7" t="str">
        <f t="shared" si="108"/>
        <v>SK</v>
      </c>
      <c r="M565" s="31">
        <f t="shared" si="101"/>
        <v>6.3</v>
      </c>
      <c r="N565" s="31">
        <f t="shared" si="102"/>
        <v>11</v>
      </c>
      <c r="O565" s="8" t="str">
        <f t="shared" si="103"/>
        <v>Jamicon-SK</v>
      </c>
      <c r="P565" s="12" t="str">
        <f t="shared" si="98"/>
        <v>Jamicon R-06.0x11.0</v>
      </c>
      <c r="Q565" s="12" t="str">
        <f t="shared" si="104"/>
        <v>10µF</v>
      </c>
      <c r="R565" s="12" t="str">
        <f t="shared" si="105"/>
        <v>100v</v>
      </c>
      <c r="S565" s="8" t="str">
        <f t="shared" si="99"/>
        <v>10µF 100v - R06.3-11.0 Jamicon (SK)</v>
      </c>
      <c r="T565" s="8">
        <f t="shared" si="106"/>
        <v>1</v>
      </c>
      <c r="U565" s="8" t="b">
        <f>NOT(ISNA(MATCH($P565,Packages!$A:$A,0)))</f>
        <v>1</v>
      </c>
    </row>
    <row r="566" spans="1:21" hidden="1">
      <c r="A566" s="6" t="s">
        <v>47</v>
      </c>
      <c r="B566" s="6" t="s">
        <v>48</v>
      </c>
      <c r="C566" s="33">
        <v>22</v>
      </c>
      <c r="D566" s="34">
        <v>100</v>
      </c>
      <c r="E566" s="6" t="s">
        <v>69</v>
      </c>
      <c r="F566" s="6" t="s">
        <v>59</v>
      </c>
      <c r="G566" s="6"/>
      <c r="H566" s="7" t="s">
        <v>141</v>
      </c>
      <c r="I566" s="7"/>
      <c r="J566" s="7" t="str">
        <f t="shared" si="107"/>
        <v>JAMICON</v>
      </c>
      <c r="K566" s="7" t="str">
        <f t="shared" si="109"/>
        <v>22µF 100v</v>
      </c>
      <c r="L566" s="7" t="str">
        <f t="shared" si="108"/>
        <v>SK</v>
      </c>
      <c r="M566" s="31">
        <f t="shared" si="101"/>
        <v>6.3</v>
      </c>
      <c r="N566" s="31">
        <f t="shared" si="102"/>
        <v>11</v>
      </c>
      <c r="O566" s="8" t="str">
        <f t="shared" si="103"/>
        <v>Jamicon-SK</v>
      </c>
      <c r="P566" s="12" t="str">
        <f t="shared" si="98"/>
        <v>Jamicon R-06.0x11.0</v>
      </c>
      <c r="Q566" s="12" t="str">
        <f t="shared" si="104"/>
        <v>22µF</v>
      </c>
      <c r="R566" s="12" t="str">
        <f t="shared" si="105"/>
        <v>100v</v>
      </c>
      <c r="S566" s="8" t="str">
        <f t="shared" si="99"/>
        <v>22µF 100v - R06.3-11.0 Jamicon (SK)</v>
      </c>
      <c r="T566" s="8">
        <f t="shared" si="106"/>
        <v>1</v>
      </c>
      <c r="U566" s="8" t="b">
        <f>NOT(ISNA(MATCH($P566,Packages!$A:$A,0)))</f>
        <v>1</v>
      </c>
    </row>
    <row r="567" spans="1:21" hidden="1">
      <c r="A567" s="6" t="s">
        <v>47</v>
      </c>
      <c r="B567" s="6" t="s">
        <v>48</v>
      </c>
      <c r="C567" s="33">
        <v>22</v>
      </c>
      <c r="D567" s="34">
        <v>100</v>
      </c>
      <c r="E567" s="6" t="s">
        <v>108</v>
      </c>
      <c r="F567" s="6" t="s">
        <v>59</v>
      </c>
      <c r="G567" s="6"/>
      <c r="H567" s="7" t="s">
        <v>141</v>
      </c>
      <c r="I567" s="7"/>
      <c r="J567" s="7" t="str">
        <f t="shared" si="107"/>
        <v>JAMICON</v>
      </c>
      <c r="K567" s="7" t="str">
        <f t="shared" si="109"/>
        <v>22µF 100v</v>
      </c>
      <c r="L567" s="7" t="str">
        <f t="shared" si="108"/>
        <v>SK</v>
      </c>
      <c r="M567" s="31">
        <f t="shared" si="101"/>
        <v>8</v>
      </c>
      <c r="N567" s="31">
        <f t="shared" si="102"/>
        <v>11.5</v>
      </c>
      <c r="O567" s="8" t="str">
        <f t="shared" si="103"/>
        <v>Jamicon-SK</v>
      </c>
      <c r="P567" s="12" t="str">
        <f t="shared" si="98"/>
        <v>Jamicon R-08.0x12.0</v>
      </c>
      <c r="Q567" s="12" t="str">
        <f t="shared" si="104"/>
        <v>22µF</v>
      </c>
      <c r="R567" s="12" t="str">
        <f t="shared" si="105"/>
        <v>100v</v>
      </c>
      <c r="S567" s="8" t="str">
        <f t="shared" si="99"/>
        <v>22µF 100v - R08.0-11.5 Jamicon (SK)</v>
      </c>
      <c r="T567" s="8">
        <f t="shared" si="106"/>
        <v>1</v>
      </c>
      <c r="U567" s="8" t="b">
        <f>NOT(ISNA(MATCH($P567,Packages!$A:$A,0)))</f>
        <v>1</v>
      </c>
    </row>
    <row r="568" spans="1:21" hidden="1">
      <c r="A568" s="6" t="s">
        <v>47</v>
      </c>
      <c r="B568" s="6" t="s">
        <v>48</v>
      </c>
      <c r="C568" s="33">
        <v>33</v>
      </c>
      <c r="D568" s="34">
        <v>100</v>
      </c>
      <c r="E568" s="6" t="s">
        <v>108</v>
      </c>
      <c r="F568" s="6" t="s">
        <v>59</v>
      </c>
      <c r="G568" s="6"/>
      <c r="H568" s="7" t="s">
        <v>141</v>
      </c>
      <c r="I568" s="7"/>
      <c r="J568" s="7" t="str">
        <f t="shared" si="107"/>
        <v>JAMICON</v>
      </c>
      <c r="K568" s="7" t="str">
        <f t="shared" si="109"/>
        <v>33µF 100v</v>
      </c>
      <c r="L568" s="7" t="str">
        <f t="shared" si="108"/>
        <v>SK</v>
      </c>
      <c r="M568" s="31">
        <f t="shared" si="101"/>
        <v>8</v>
      </c>
      <c r="N568" s="31">
        <f t="shared" si="102"/>
        <v>11.5</v>
      </c>
      <c r="O568" s="8" t="str">
        <f t="shared" si="103"/>
        <v>Jamicon-SK</v>
      </c>
      <c r="P568" s="12" t="str">
        <f t="shared" si="98"/>
        <v>Jamicon R-08.0x12.0</v>
      </c>
      <c r="Q568" s="12" t="str">
        <f t="shared" si="104"/>
        <v>33µF</v>
      </c>
      <c r="R568" s="12" t="str">
        <f t="shared" si="105"/>
        <v>100v</v>
      </c>
      <c r="S568" s="8" t="str">
        <f t="shared" si="99"/>
        <v>33µF 100v - R08.0-11.5 Jamicon (SK)</v>
      </c>
      <c r="T568" s="8">
        <f t="shared" si="106"/>
        <v>1</v>
      </c>
      <c r="U568" s="8" t="b">
        <f>NOT(ISNA(MATCH($P568,Packages!$A:$A,0)))</f>
        <v>1</v>
      </c>
    </row>
    <row r="569" spans="1:21" hidden="1">
      <c r="A569" s="6" t="s">
        <v>47</v>
      </c>
      <c r="B569" s="6" t="s">
        <v>48</v>
      </c>
      <c r="C569" s="33">
        <v>33</v>
      </c>
      <c r="D569" s="34">
        <v>100</v>
      </c>
      <c r="E569" s="6" t="s">
        <v>92</v>
      </c>
      <c r="F569" s="6" t="s">
        <v>59</v>
      </c>
      <c r="G569" s="6"/>
      <c r="H569" s="7" t="s">
        <v>141</v>
      </c>
      <c r="I569" s="7"/>
      <c r="J569" s="7" t="str">
        <f t="shared" si="107"/>
        <v>JAMICON</v>
      </c>
      <c r="K569" s="7" t="str">
        <f t="shared" si="109"/>
        <v>33µF 100v</v>
      </c>
      <c r="L569" s="7" t="str">
        <f t="shared" si="108"/>
        <v>SK</v>
      </c>
      <c r="M569" s="31">
        <f t="shared" si="101"/>
        <v>10</v>
      </c>
      <c r="N569" s="31">
        <f t="shared" si="102"/>
        <v>12.5</v>
      </c>
      <c r="O569" s="8" t="str">
        <f t="shared" si="103"/>
        <v>Jamicon-SK</v>
      </c>
      <c r="P569" s="12" t="str">
        <f t="shared" si="98"/>
        <v>Jamicon R-10.0x13.0</v>
      </c>
      <c r="Q569" s="12" t="str">
        <f t="shared" si="104"/>
        <v>33µF</v>
      </c>
      <c r="R569" s="12" t="str">
        <f t="shared" si="105"/>
        <v>100v</v>
      </c>
      <c r="S569" s="8" t="str">
        <f t="shared" si="99"/>
        <v>33µF 100v - R10.0-12.5 Jamicon (SK)</v>
      </c>
      <c r="T569" s="8">
        <f t="shared" si="106"/>
        <v>1</v>
      </c>
      <c r="U569" s="8" t="b">
        <f>NOT(ISNA(MATCH($P569,Packages!$A:$A,0)))</f>
        <v>1</v>
      </c>
    </row>
    <row r="570" spans="1:21" hidden="1">
      <c r="A570" s="6" t="s">
        <v>47</v>
      </c>
      <c r="B570" s="6" t="s">
        <v>48</v>
      </c>
      <c r="C570" s="33">
        <v>47</v>
      </c>
      <c r="D570" s="34">
        <v>100</v>
      </c>
      <c r="E570" s="6" t="s">
        <v>92</v>
      </c>
      <c r="F570" s="6" t="s">
        <v>59</v>
      </c>
      <c r="G570" s="6"/>
      <c r="H570" s="7" t="s">
        <v>141</v>
      </c>
      <c r="I570" s="7"/>
      <c r="J570" s="7" t="str">
        <f t="shared" si="107"/>
        <v>JAMICON</v>
      </c>
      <c r="K570" s="7" t="str">
        <f t="shared" si="109"/>
        <v>47µF 100v</v>
      </c>
      <c r="L570" s="7" t="str">
        <f t="shared" si="108"/>
        <v>SK</v>
      </c>
      <c r="M570" s="31">
        <f t="shared" si="101"/>
        <v>10</v>
      </c>
      <c r="N570" s="31">
        <f t="shared" si="102"/>
        <v>12.5</v>
      </c>
      <c r="O570" s="8" t="str">
        <f t="shared" si="103"/>
        <v>Jamicon-SK</v>
      </c>
      <c r="P570" s="12" t="str">
        <f t="shared" si="98"/>
        <v>Jamicon R-10.0x13.0</v>
      </c>
      <c r="Q570" s="12" t="str">
        <f t="shared" si="104"/>
        <v>47µF</v>
      </c>
      <c r="R570" s="12" t="str">
        <f t="shared" si="105"/>
        <v>100v</v>
      </c>
      <c r="S570" s="8" t="str">
        <f t="shared" si="99"/>
        <v>47µF 100v - R10.0-12.5 Jamicon (SK)</v>
      </c>
      <c r="T570" s="8">
        <f t="shared" si="106"/>
        <v>1</v>
      </c>
      <c r="U570" s="8" t="b">
        <f>NOT(ISNA(MATCH($P570,Packages!$A:$A,0)))</f>
        <v>1</v>
      </c>
    </row>
    <row r="571" spans="1:21" hidden="1">
      <c r="A571" s="6" t="s">
        <v>47</v>
      </c>
      <c r="B571" s="6" t="s">
        <v>48</v>
      </c>
      <c r="C571" s="33">
        <v>47</v>
      </c>
      <c r="D571" s="34">
        <v>100</v>
      </c>
      <c r="E571" s="6" t="s">
        <v>74</v>
      </c>
      <c r="F571" s="6" t="s">
        <v>59</v>
      </c>
      <c r="G571" s="6"/>
      <c r="H571" s="7" t="s">
        <v>141</v>
      </c>
      <c r="I571" s="7"/>
      <c r="J571" s="7" t="str">
        <f t="shared" si="107"/>
        <v>JAMICON</v>
      </c>
      <c r="K571" s="7" t="str">
        <f t="shared" si="109"/>
        <v>47µF 100v</v>
      </c>
      <c r="L571" s="7" t="str">
        <f t="shared" si="108"/>
        <v>SK</v>
      </c>
      <c r="M571" s="31">
        <f t="shared" si="101"/>
        <v>10</v>
      </c>
      <c r="N571" s="31">
        <f t="shared" si="102"/>
        <v>16</v>
      </c>
      <c r="O571" s="8" t="str">
        <f t="shared" si="103"/>
        <v>Jamicon-SK</v>
      </c>
      <c r="P571" s="12" t="str">
        <f t="shared" si="98"/>
        <v>Jamicon R-10.0x16.0</v>
      </c>
      <c r="Q571" s="12" t="str">
        <f t="shared" si="104"/>
        <v>47µF</v>
      </c>
      <c r="R571" s="12" t="str">
        <f t="shared" si="105"/>
        <v>100v</v>
      </c>
      <c r="S571" s="8" t="str">
        <f t="shared" si="99"/>
        <v>47µF 100v - R10.0-16.0 Jamicon (SK)</v>
      </c>
      <c r="T571" s="8">
        <f t="shared" si="106"/>
        <v>1</v>
      </c>
      <c r="U571" s="8" t="b">
        <f>NOT(ISNA(MATCH($P571,Packages!$A:$A,0)))</f>
        <v>1</v>
      </c>
    </row>
    <row r="572" spans="1:21" hidden="1">
      <c r="A572" s="6" t="s">
        <v>47</v>
      </c>
      <c r="B572" s="6" t="s">
        <v>48</v>
      </c>
      <c r="C572" s="33">
        <v>100</v>
      </c>
      <c r="D572" s="34">
        <v>100</v>
      </c>
      <c r="E572" s="6" t="s">
        <v>94</v>
      </c>
      <c r="F572" s="6" t="s">
        <v>59</v>
      </c>
      <c r="G572" s="6"/>
      <c r="H572" s="7" t="s">
        <v>141</v>
      </c>
      <c r="I572" s="7"/>
      <c r="J572" s="7" t="str">
        <f t="shared" si="107"/>
        <v>JAMICON</v>
      </c>
      <c r="K572" s="7" t="str">
        <f t="shared" si="109"/>
        <v>100µF 100v</v>
      </c>
      <c r="L572" s="7" t="str">
        <f t="shared" si="108"/>
        <v>SK</v>
      </c>
      <c r="M572" s="31">
        <f t="shared" si="101"/>
        <v>10</v>
      </c>
      <c r="N572" s="31">
        <f t="shared" si="102"/>
        <v>20</v>
      </c>
      <c r="O572" s="8" t="str">
        <f t="shared" si="103"/>
        <v>Jamicon-SK</v>
      </c>
      <c r="P572" s="12" t="str">
        <f t="shared" si="98"/>
        <v>Jamicon R-10.0x20.0</v>
      </c>
      <c r="Q572" s="12" t="str">
        <f t="shared" si="104"/>
        <v>100µF</v>
      </c>
      <c r="R572" s="12" t="str">
        <f t="shared" si="105"/>
        <v>100v</v>
      </c>
      <c r="S572" s="8" t="str">
        <f t="shared" si="99"/>
        <v>100µF 100v - R10.0-20.0 Jamicon (SK)</v>
      </c>
      <c r="T572" s="8">
        <f t="shared" si="106"/>
        <v>1</v>
      </c>
      <c r="U572" s="8" t="b">
        <f>NOT(ISNA(MATCH($P572,Packages!$A:$A,0)))</f>
        <v>1</v>
      </c>
    </row>
    <row r="573" spans="1:21" hidden="1">
      <c r="A573" s="6" t="s">
        <v>47</v>
      </c>
      <c r="B573" s="6" t="s">
        <v>48</v>
      </c>
      <c r="C573" s="33">
        <v>100</v>
      </c>
      <c r="D573" s="34">
        <v>100</v>
      </c>
      <c r="E573" s="6" t="s">
        <v>95</v>
      </c>
      <c r="F573" s="6" t="s">
        <v>59</v>
      </c>
      <c r="G573" s="6"/>
      <c r="H573" s="7" t="s">
        <v>141</v>
      </c>
      <c r="I573" s="7"/>
      <c r="J573" s="7" t="str">
        <f t="shared" si="107"/>
        <v>JAMICON</v>
      </c>
      <c r="K573" s="7" t="str">
        <f t="shared" si="109"/>
        <v>100µF 100v</v>
      </c>
      <c r="L573" s="7" t="str">
        <f t="shared" si="108"/>
        <v>SK</v>
      </c>
      <c r="M573" s="31">
        <f t="shared" si="101"/>
        <v>12.5</v>
      </c>
      <c r="N573" s="31">
        <f t="shared" si="102"/>
        <v>20</v>
      </c>
      <c r="O573" s="8" t="str">
        <f t="shared" si="103"/>
        <v>Jamicon-SK</v>
      </c>
      <c r="P573" s="12" t="str">
        <f t="shared" si="98"/>
        <v>Jamicon R-13.0x20.0</v>
      </c>
      <c r="Q573" s="12" t="str">
        <f t="shared" si="104"/>
        <v>100µF</v>
      </c>
      <c r="R573" s="12" t="str">
        <f t="shared" si="105"/>
        <v>100v</v>
      </c>
      <c r="S573" s="8" t="str">
        <f t="shared" si="99"/>
        <v>100µF 100v - R12.5-20.0 Jamicon (SK)</v>
      </c>
      <c r="T573" s="8">
        <f t="shared" si="106"/>
        <v>1</v>
      </c>
      <c r="U573" s="8" t="b">
        <f>NOT(ISNA(MATCH($P573,Packages!$A:$A,0)))</f>
        <v>1</v>
      </c>
    </row>
    <row r="574" spans="1:21" hidden="1">
      <c r="A574" s="6" t="s">
        <v>47</v>
      </c>
      <c r="B574" s="6" t="s">
        <v>48</v>
      </c>
      <c r="C574" s="33">
        <v>220</v>
      </c>
      <c r="D574" s="34">
        <v>100</v>
      </c>
      <c r="E574" s="6" t="s">
        <v>96</v>
      </c>
      <c r="F574" s="6" t="s">
        <v>59</v>
      </c>
      <c r="G574" s="6"/>
      <c r="H574" s="7" t="s">
        <v>141</v>
      </c>
      <c r="I574" s="7"/>
      <c r="J574" s="7" t="str">
        <f t="shared" si="107"/>
        <v>JAMICON</v>
      </c>
      <c r="K574" s="7" t="str">
        <f t="shared" si="109"/>
        <v>220µF 100v</v>
      </c>
      <c r="L574" s="7" t="str">
        <f t="shared" si="108"/>
        <v>SK</v>
      </c>
      <c r="M574" s="31">
        <f t="shared" si="101"/>
        <v>12.5</v>
      </c>
      <c r="N574" s="31">
        <f t="shared" si="102"/>
        <v>25</v>
      </c>
      <c r="O574" s="8" t="str">
        <f t="shared" si="103"/>
        <v>Jamicon-SK</v>
      </c>
      <c r="P574" s="12" t="str">
        <f t="shared" si="98"/>
        <v>Jamicon R-13.0x25.0</v>
      </c>
      <c r="Q574" s="12" t="str">
        <f t="shared" si="104"/>
        <v>220µF</v>
      </c>
      <c r="R574" s="12" t="str">
        <f t="shared" si="105"/>
        <v>100v</v>
      </c>
      <c r="S574" s="8" t="str">
        <f t="shared" si="99"/>
        <v>220µF 100v - R12.5-25.0 Jamicon (SK)</v>
      </c>
      <c r="T574" s="8">
        <f t="shared" si="106"/>
        <v>1</v>
      </c>
      <c r="U574" s="8" t="b">
        <f>NOT(ISNA(MATCH($P574,Packages!$A:$A,0)))</f>
        <v>1</v>
      </c>
    </row>
    <row r="575" spans="1:21" hidden="1">
      <c r="A575" s="6" t="s">
        <v>47</v>
      </c>
      <c r="B575" s="6" t="s">
        <v>48</v>
      </c>
      <c r="C575" s="33">
        <v>220</v>
      </c>
      <c r="D575" s="34">
        <v>100</v>
      </c>
      <c r="E575" s="6" t="s">
        <v>97</v>
      </c>
      <c r="F575" s="6" t="s">
        <v>59</v>
      </c>
      <c r="G575" s="6"/>
      <c r="H575" s="7" t="s">
        <v>141</v>
      </c>
      <c r="I575" s="7"/>
      <c r="J575" s="7" t="str">
        <f t="shared" si="107"/>
        <v>JAMICON</v>
      </c>
      <c r="K575" s="7" t="str">
        <f t="shared" si="109"/>
        <v>220µF 100v</v>
      </c>
      <c r="L575" s="7" t="str">
        <f t="shared" si="108"/>
        <v>SK</v>
      </c>
      <c r="M575" s="31">
        <f t="shared" si="101"/>
        <v>16</v>
      </c>
      <c r="N575" s="31">
        <f t="shared" si="102"/>
        <v>25</v>
      </c>
      <c r="O575" s="8" t="str">
        <f t="shared" si="103"/>
        <v>Jamicon-SK</v>
      </c>
      <c r="P575" s="12" t="str">
        <f t="shared" si="98"/>
        <v>Jamicon R-16.0x25.0</v>
      </c>
      <c r="Q575" s="12" t="str">
        <f t="shared" si="104"/>
        <v>220µF</v>
      </c>
      <c r="R575" s="12" t="str">
        <f t="shared" si="105"/>
        <v>100v</v>
      </c>
      <c r="S575" s="8" t="str">
        <f t="shared" si="99"/>
        <v>220µF 100v - R16.0-25.0 Jamicon (SK)</v>
      </c>
      <c r="T575" s="8">
        <f t="shared" si="106"/>
        <v>1</v>
      </c>
      <c r="U575" s="8" t="b">
        <f>NOT(ISNA(MATCH($P575,Packages!$A:$A,0)))</f>
        <v>1</v>
      </c>
    </row>
    <row r="576" spans="1:21" hidden="1">
      <c r="A576" s="6" t="s">
        <v>47</v>
      </c>
      <c r="B576" s="6" t="s">
        <v>48</v>
      </c>
      <c r="C576" s="33">
        <v>330</v>
      </c>
      <c r="D576" s="34">
        <v>100</v>
      </c>
      <c r="E576" s="6" t="s">
        <v>96</v>
      </c>
      <c r="F576" s="6" t="s">
        <v>59</v>
      </c>
      <c r="G576" s="6"/>
      <c r="H576" s="7" t="s">
        <v>141</v>
      </c>
      <c r="I576" s="7"/>
      <c r="J576" s="7" t="str">
        <f t="shared" si="107"/>
        <v>JAMICON</v>
      </c>
      <c r="K576" s="7" t="str">
        <f t="shared" si="109"/>
        <v>330µF 100v</v>
      </c>
      <c r="L576" s="7" t="str">
        <f t="shared" si="108"/>
        <v>SK</v>
      </c>
      <c r="M576" s="31">
        <f t="shared" si="101"/>
        <v>12.5</v>
      </c>
      <c r="N576" s="31">
        <f t="shared" si="102"/>
        <v>25</v>
      </c>
      <c r="O576" s="8" t="str">
        <f t="shared" si="103"/>
        <v>Jamicon-SK</v>
      </c>
      <c r="P576" s="12" t="str">
        <f t="shared" si="98"/>
        <v>Jamicon R-13.0x25.0</v>
      </c>
      <c r="Q576" s="12" t="str">
        <f t="shared" si="104"/>
        <v>330µF</v>
      </c>
      <c r="R576" s="12" t="str">
        <f t="shared" si="105"/>
        <v>100v</v>
      </c>
      <c r="S576" s="8" t="str">
        <f t="shared" si="99"/>
        <v>330µF 100v - R12.5-25.0 Jamicon (SK)</v>
      </c>
      <c r="T576" s="8">
        <f t="shared" si="106"/>
        <v>1</v>
      </c>
      <c r="U576" s="8" t="b">
        <f>NOT(ISNA(MATCH($P576,Packages!$A:$A,0)))</f>
        <v>1</v>
      </c>
    </row>
    <row r="577" spans="1:21" hidden="1">
      <c r="A577" s="6" t="s">
        <v>47</v>
      </c>
      <c r="B577" s="6" t="s">
        <v>48</v>
      </c>
      <c r="C577" s="33">
        <v>330</v>
      </c>
      <c r="D577" s="34">
        <v>100</v>
      </c>
      <c r="E577" s="6" t="s">
        <v>97</v>
      </c>
      <c r="F577" s="6" t="s">
        <v>59</v>
      </c>
      <c r="G577" s="6"/>
      <c r="H577" s="7" t="s">
        <v>141</v>
      </c>
      <c r="I577" s="7"/>
      <c r="J577" s="7" t="str">
        <f t="shared" si="107"/>
        <v>JAMICON</v>
      </c>
      <c r="K577" s="7" t="str">
        <f t="shared" si="109"/>
        <v>330µF 100v</v>
      </c>
      <c r="L577" s="7" t="str">
        <f t="shared" si="108"/>
        <v>SK</v>
      </c>
      <c r="M577" s="31">
        <f t="shared" si="101"/>
        <v>16</v>
      </c>
      <c r="N577" s="31">
        <f t="shared" si="102"/>
        <v>25</v>
      </c>
      <c r="O577" s="8" t="str">
        <f t="shared" si="103"/>
        <v>Jamicon-SK</v>
      </c>
      <c r="P577" s="12" t="str">
        <f t="shared" si="98"/>
        <v>Jamicon R-16.0x25.0</v>
      </c>
      <c r="Q577" s="12" t="str">
        <f t="shared" si="104"/>
        <v>330µF</v>
      </c>
      <c r="R577" s="12" t="str">
        <f t="shared" si="105"/>
        <v>100v</v>
      </c>
      <c r="S577" s="8" t="str">
        <f t="shared" si="99"/>
        <v>330µF 100v - R16.0-25.0 Jamicon (SK)</v>
      </c>
      <c r="T577" s="8">
        <f t="shared" si="106"/>
        <v>1</v>
      </c>
      <c r="U577" s="8" t="b">
        <f>NOT(ISNA(MATCH($P577,Packages!$A:$A,0)))</f>
        <v>1</v>
      </c>
    </row>
    <row r="578" spans="1:21" hidden="1">
      <c r="A578" s="6" t="s">
        <v>47</v>
      </c>
      <c r="B578" s="6" t="s">
        <v>48</v>
      </c>
      <c r="C578" s="33">
        <v>470</v>
      </c>
      <c r="D578" s="34">
        <v>100</v>
      </c>
      <c r="E578" s="6" t="s">
        <v>97</v>
      </c>
      <c r="F578" s="6" t="s">
        <v>59</v>
      </c>
      <c r="G578" s="6"/>
      <c r="H578" s="7" t="s">
        <v>141</v>
      </c>
      <c r="I578" s="7"/>
      <c r="J578" s="7" t="str">
        <f t="shared" si="107"/>
        <v>JAMICON</v>
      </c>
      <c r="K578" s="7" t="str">
        <f t="shared" si="109"/>
        <v>470µF 100v</v>
      </c>
      <c r="L578" s="7" t="str">
        <f t="shared" si="108"/>
        <v>SK</v>
      </c>
      <c r="M578" s="31">
        <f t="shared" si="101"/>
        <v>16</v>
      </c>
      <c r="N578" s="31">
        <f t="shared" si="102"/>
        <v>25</v>
      </c>
      <c r="O578" s="8" t="str">
        <f t="shared" si="103"/>
        <v>Jamicon-SK</v>
      </c>
      <c r="P578" s="12" t="str">
        <f t="shared" ref="P578:P641" si="110">$A578&amp;" "&amp;LEFT($F578,1)&amp;"-"&amp;TEXT(ROUND($M578,0),"00.0")&amp;"x"&amp;TEXT(ROUND($N578,0),"00.0")</f>
        <v>Jamicon R-16.0x25.0</v>
      </c>
      <c r="Q578" s="12" t="str">
        <f t="shared" si="104"/>
        <v>470µF</v>
      </c>
      <c r="R578" s="12" t="str">
        <f t="shared" si="105"/>
        <v>100v</v>
      </c>
      <c r="S578" s="8" t="str">
        <f t="shared" ref="S578:S641" si="111">$Q578&amp;" "&amp;$R578&amp;" - "&amp;LEFT($F578,1)&amp;TEXT($M578,"00.0")&amp;"-"&amp;TEXT($N578,"00.0")&amp;" "&amp;A578&amp;" ("&amp;B578&amp;")"&amp;IF(ISBLANK($G578),""," "&amp;$G578)</f>
        <v>470µF 100v - R16.0-25.0 Jamicon (SK)</v>
      </c>
      <c r="T578" s="8">
        <f t="shared" si="106"/>
        <v>1</v>
      </c>
      <c r="U578" s="8" t="b">
        <f>NOT(ISNA(MATCH($P578,Packages!$A:$A,0)))</f>
        <v>1</v>
      </c>
    </row>
    <row r="579" spans="1:21" hidden="1">
      <c r="A579" s="6" t="s">
        <v>47</v>
      </c>
      <c r="B579" s="6" t="s">
        <v>48</v>
      </c>
      <c r="C579" s="33">
        <v>470</v>
      </c>
      <c r="D579" s="34">
        <v>100</v>
      </c>
      <c r="E579" s="6" t="s">
        <v>98</v>
      </c>
      <c r="F579" s="6" t="s">
        <v>59</v>
      </c>
      <c r="G579" s="6"/>
      <c r="H579" s="7" t="s">
        <v>141</v>
      </c>
      <c r="I579" s="7"/>
      <c r="J579" s="7" t="str">
        <f t="shared" si="107"/>
        <v>JAMICON</v>
      </c>
      <c r="K579" s="7" t="str">
        <f t="shared" ref="K579:K642" si="112">$Q579&amp;" "&amp;$R579</f>
        <v>470µF 100v</v>
      </c>
      <c r="L579" s="7" t="str">
        <f t="shared" si="108"/>
        <v>SK</v>
      </c>
      <c r="M579" s="31">
        <f t="shared" ref="M579:M642" si="113">VALUE(LEFT($E579,SEARCH("x",$E579)-1))</f>
        <v>16</v>
      </c>
      <c r="N579" s="31">
        <f t="shared" ref="N579:N642" si="114">VALUE(RIGHT($E579,LEN($E579)-SEARCH("x",$E579)))</f>
        <v>31.5</v>
      </c>
      <c r="O579" s="8" t="str">
        <f t="shared" ref="O579:O642" si="115">$A579&amp;"-"&amp;$B579</f>
        <v>Jamicon-SK</v>
      </c>
      <c r="P579" s="12" t="str">
        <f t="shared" si="110"/>
        <v>Jamicon R-16.0x32.0</v>
      </c>
      <c r="Q579" s="12" t="str">
        <f t="shared" ref="Q579:Q642" si="116">TEXT($C579,"General"&amp;CHAR(34)&amp;"µF"&amp;CHAR(34))</f>
        <v>470µF</v>
      </c>
      <c r="R579" s="12" t="str">
        <f t="shared" ref="R579:R642" si="117">TEXT($D579,"General"&amp;CHAR(34)&amp;"v"&amp;CHAR(34))</f>
        <v>100v</v>
      </c>
      <c r="S579" s="8" t="str">
        <f t="shared" si="111"/>
        <v>470µF 100v - R16.0-31.5 Jamicon (SK)</v>
      </c>
      <c r="T579" s="8">
        <f t="shared" ref="T579:T642" si="118">COUNTIF($S:$S,$S579)</f>
        <v>1</v>
      </c>
      <c r="U579" s="8" t="b">
        <f>NOT(ISNA(MATCH($P579,Packages!$A:$A,0)))</f>
        <v>1</v>
      </c>
    </row>
    <row r="580" spans="1:21" hidden="1">
      <c r="A580" s="6" t="s">
        <v>47</v>
      </c>
      <c r="B580" s="6" t="s">
        <v>48</v>
      </c>
      <c r="C580" s="33">
        <v>1000</v>
      </c>
      <c r="D580" s="34">
        <v>100</v>
      </c>
      <c r="E580" s="6" t="s">
        <v>101</v>
      </c>
      <c r="F580" s="6" t="s">
        <v>59</v>
      </c>
      <c r="G580" s="6"/>
      <c r="H580" s="7" t="s">
        <v>141</v>
      </c>
      <c r="I580" s="7"/>
      <c r="J580" s="7" t="str">
        <f t="shared" si="107"/>
        <v>JAMICON</v>
      </c>
      <c r="K580" s="7" t="str">
        <f t="shared" si="112"/>
        <v>1000µF 100v</v>
      </c>
      <c r="L580" s="7" t="str">
        <f t="shared" si="108"/>
        <v>SK</v>
      </c>
      <c r="M580" s="31">
        <f t="shared" si="113"/>
        <v>18</v>
      </c>
      <c r="N580" s="31">
        <f t="shared" si="114"/>
        <v>40</v>
      </c>
      <c r="O580" s="8" t="str">
        <f t="shared" si="115"/>
        <v>Jamicon-SK</v>
      </c>
      <c r="P580" s="12" t="str">
        <f t="shared" si="110"/>
        <v>Jamicon R-18.0x40.0</v>
      </c>
      <c r="Q580" s="12" t="str">
        <f t="shared" si="116"/>
        <v>1000µF</v>
      </c>
      <c r="R580" s="12" t="str">
        <f t="shared" si="117"/>
        <v>100v</v>
      </c>
      <c r="S580" s="8" t="str">
        <f t="shared" si="111"/>
        <v>1000µF 100v - R18.0-40.0 Jamicon (SK)</v>
      </c>
      <c r="T580" s="8">
        <f t="shared" si="118"/>
        <v>1</v>
      </c>
      <c r="U580" s="8" t="b">
        <f>NOT(ISNA(MATCH($P580,Packages!$A:$A,0)))</f>
        <v>1</v>
      </c>
    </row>
    <row r="581" spans="1:21" hidden="1">
      <c r="A581" s="6" t="s">
        <v>47</v>
      </c>
      <c r="B581" s="6" t="s">
        <v>48</v>
      </c>
      <c r="C581" s="33">
        <v>1000</v>
      </c>
      <c r="D581" s="34">
        <v>100</v>
      </c>
      <c r="E581" s="6" t="s">
        <v>103</v>
      </c>
      <c r="F581" s="6" t="s">
        <v>59</v>
      </c>
      <c r="G581" s="6"/>
      <c r="H581" s="7" t="s">
        <v>141</v>
      </c>
      <c r="I581" s="7"/>
      <c r="J581" s="7" t="str">
        <f t="shared" ref="J581:J644" si="119">UPPER($A581)</f>
        <v>JAMICON</v>
      </c>
      <c r="K581" s="7" t="str">
        <f t="shared" si="112"/>
        <v>1000µF 100v</v>
      </c>
      <c r="L581" s="7" t="str">
        <f t="shared" si="108"/>
        <v>SK</v>
      </c>
      <c r="M581" s="31">
        <f t="shared" si="113"/>
        <v>22</v>
      </c>
      <c r="N581" s="31">
        <f t="shared" si="114"/>
        <v>35</v>
      </c>
      <c r="O581" s="8" t="str">
        <f t="shared" si="115"/>
        <v>Jamicon-SK</v>
      </c>
      <c r="P581" s="12" t="str">
        <f t="shared" si="110"/>
        <v>Jamicon R-22.0x35.0</v>
      </c>
      <c r="Q581" s="12" t="str">
        <f t="shared" si="116"/>
        <v>1000µF</v>
      </c>
      <c r="R581" s="12" t="str">
        <f t="shared" si="117"/>
        <v>100v</v>
      </c>
      <c r="S581" s="8" t="str">
        <f t="shared" si="111"/>
        <v>1000µF 100v - R22.0-35.0 Jamicon (SK)</v>
      </c>
      <c r="T581" s="8">
        <f t="shared" si="118"/>
        <v>1</v>
      </c>
      <c r="U581" s="8" t="b">
        <f>NOT(ISNA(MATCH($P581,Packages!$A:$A,0)))</f>
        <v>1</v>
      </c>
    </row>
    <row r="582" spans="1:21" hidden="1">
      <c r="A582" s="6" t="s">
        <v>47</v>
      </c>
      <c r="B582" s="6" t="s">
        <v>48</v>
      </c>
      <c r="C582" s="33">
        <v>2200</v>
      </c>
      <c r="D582" s="34">
        <v>100</v>
      </c>
      <c r="E582" s="6" t="s">
        <v>86</v>
      </c>
      <c r="F582" s="6" t="s">
        <v>59</v>
      </c>
      <c r="G582" s="6"/>
      <c r="H582" s="7" t="s">
        <v>141</v>
      </c>
      <c r="I582" s="7"/>
      <c r="J582" s="7" t="str">
        <f t="shared" si="119"/>
        <v>JAMICON</v>
      </c>
      <c r="K582" s="7" t="str">
        <f t="shared" si="112"/>
        <v>2200µF 100v</v>
      </c>
      <c r="L582" s="7" t="str">
        <f t="shared" si="108"/>
        <v>SK</v>
      </c>
      <c r="M582" s="31">
        <f t="shared" si="113"/>
        <v>25</v>
      </c>
      <c r="N582" s="31">
        <f t="shared" si="114"/>
        <v>50</v>
      </c>
      <c r="O582" s="8" t="str">
        <f t="shared" si="115"/>
        <v>Jamicon-SK</v>
      </c>
      <c r="P582" s="12" t="str">
        <f t="shared" si="110"/>
        <v>Jamicon R-25.0x50.0</v>
      </c>
      <c r="Q582" s="12" t="str">
        <f t="shared" si="116"/>
        <v>2200µF</v>
      </c>
      <c r="R582" s="12" t="str">
        <f t="shared" si="117"/>
        <v>100v</v>
      </c>
      <c r="S582" s="8" t="str">
        <f t="shared" si="111"/>
        <v>2200µF 100v - R25.0-50.0 Jamicon (SK)</v>
      </c>
      <c r="T582" s="8">
        <f t="shared" si="118"/>
        <v>1</v>
      </c>
      <c r="U582" s="8" t="b">
        <f>NOT(ISNA(MATCH($P582,Packages!$A:$A,0)))</f>
        <v>1</v>
      </c>
    </row>
    <row r="583" spans="1:21" hidden="1">
      <c r="A583" s="6" t="s">
        <v>47</v>
      </c>
      <c r="B583" s="6" t="s">
        <v>48</v>
      </c>
      <c r="C583" s="33">
        <v>0.47</v>
      </c>
      <c r="D583" s="34">
        <v>160</v>
      </c>
      <c r="E583" s="6" t="s">
        <v>69</v>
      </c>
      <c r="F583" s="6" t="s">
        <v>59</v>
      </c>
      <c r="G583" s="6"/>
      <c r="H583" s="7" t="s">
        <v>141</v>
      </c>
      <c r="I583" s="7"/>
      <c r="J583" s="7" t="str">
        <f t="shared" si="119"/>
        <v>JAMICON</v>
      </c>
      <c r="K583" s="7" t="str">
        <f t="shared" si="112"/>
        <v>0.47µF 160v</v>
      </c>
      <c r="L583" s="7" t="str">
        <f t="shared" si="108"/>
        <v>SK</v>
      </c>
      <c r="M583" s="31">
        <f t="shared" si="113"/>
        <v>6.3</v>
      </c>
      <c r="N583" s="31">
        <f t="shared" si="114"/>
        <v>11</v>
      </c>
      <c r="O583" s="8" t="str">
        <f t="shared" si="115"/>
        <v>Jamicon-SK</v>
      </c>
      <c r="P583" s="12" t="str">
        <f t="shared" si="110"/>
        <v>Jamicon R-06.0x11.0</v>
      </c>
      <c r="Q583" s="12" t="str">
        <f t="shared" si="116"/>
        <v>0.47µF</v>
      </c>
      <c r="R583" s="12" t="str">
        <f t="shared" si="117"/>
        <v>160v</v>
      </c>
      <c r="S583" s="8" t="str">
        <f t="shared" si="111"/>
        <v>0.47µF 160v - R06.3-11.0 Jamicon (SK)</v>
      </c>
      <c r="T583" s="8">
        <f t="shared" si="118"/>
        <v>1</v>
      </c>
      <c r="U583" s="8" t="b">
        <f>NOT(ISNA(MATCH($P583,Packages!$A:$A,0)))</f>
        <v>1</v>
      </c>
    </row>
    <row r="584" spans="1:21" hidden="1">
      <c r="A584" s="6" t="s">
        <v>47</v>
      </c>
      <c r="B584" s="6" t="s">
        <v>48</v>
      </c>
      <c r="C584" s="33">
        <v>1</v>
      </c>
      <c r="D584" s="34">
        <v>160</v>
      </c>
      <c r="E584" s="6" t="s">
        <v>69</v>
      </c>
      <c r="F584" s="6" t="s">
        <v>59</v>
      </c>
      <c r="G584" s="6"/>
      <c r="H584" s="7" t="s">
        <v>141</v>
      </c>
      <c r="I584" s="7"/>
      <c r="J584" s="7" t="str">
        <f t="shared" si="119"/>
        <v>JAMICON</v>
      </c>
      <c r="K584" s="7" t="str">
        <f t="shared" si="112"/>
        <v>1µF 160v</v>
      </c>
      <c r="L584" s="7" t="str">
        <f t="shared" si="108"/>
        <v>SK</v>
      </c>
      <c r="M584" s="31">
        <f t="shared" si="113"/>
        <v>6.3</v>
      </c>
      <c r="N584" s="31">
        <f t="shared" si="114"/>
        <v>11</v>
      </c>
      <c r="O584" s="8" t="str">
        <f t="shared" si="115"/>
        <v>Jamicon-SK</v>
      </c>
      <c r="P584" s="12" t="str">
        <f t="shared" si="110"/>
        <v>Jamicon R-06.0x11.0</v>
      </c>
      <c r="Q584" s="12" t="str">
        <f t="shared" si="116"/>
        <v>1µF</v>
      </c>
      <c r="R584" s="12" t="str">
        <f t="shared" si="117"/>
        <v>160v</v>
      </c>
      <c r="S584" s="8" t="str">
        <f t="shared" si="111"/>
        <v>1µF 160v - R06.3-11.0 Jamicon (SK)</v>
      </c>
      <c r="T584" s="8">
        <f t="shared" si="118"/>
        <v>1</v>
      </c>
      <c r="U584" s="8" t="b">
        <f>NOT(ISNA(MATCH($P584,Packages!$A:$A,0)))</f>
        <v>1</v>
      </c>
    </row>
    <row r="585" spans="1:21" hidden="1">
      <c r="A585" s="6" t="s">
        <v>47</v>
      </c>
      <c r="B585" s="6" t="s">
        <v>48</v>
      </c>
      <c r="C585" s="33">
        <v>2.2000000000000002</v>
      </c>
      <c r="D585" s="34">
        <v>160</v>
      </c>
      <c r="E585" s="6" t="s">
        <v>69</v>
      </c>
      <c r="F585" s="6" t="s">
        <v>59</v>
      </c>
      <c r="G585" s="6"/>
      <c r="H585" s="7" t="s">
        <v>141</v>
      </c>
      <c r="I585" s="7"/>
      <c r="J585" s="7" t="str">
        <f t="shared" si="119"/>
        <v>JAMICON</v>
      </c>
      <c r="K585" s="7" t="str">
        <f t="shared" si="112"/>
        <v>2.2µF 160v</v>
      </c>
      <c r="L585" s="7" t="str">
        <f t="shared" si="108"/>
        <v>SK</v>
      </c>
      <c r="M585" s="31">
        <f t="shared" si="113"/>
        <v>6.3</v>
      </c>
      <c r="N585" s="31">
        <f t="shared" si="114"/>
        <v>11</v>
      </c>
      <c r="O585" s="8" t="str">
        <f t="shared" si="115"/>
        <v>Jamicon-SK</v>
      </c>
      <c r="P585" s="12" t="str">
        <f t="shared" si="110"/>
        <v>Jamicon R-06.0x11.0</v>
      </c>
      <c r="Q585" s="12" t="str">
        <f t="shared" si="116"/>
        <v>2.2µF</v>
      </c>
      <c r="R585" s="12" t="str">
        <f t="shared" si="117"/>
        <v>160v</v>
      </c>
      <c r="S585" s="8" t="str">
        <f t="shared" si="111"/>
        <v>2.2µF 160v - R06.3-11.0 Jamicon (SK)</v>
      </c>
      <c r="T585" s="8">
        <f t="shared" si="118"/>
        <v>1</v>
      </c>
      <c r="U585" s="8" t="b">
        <f>NOT(ISNA(MATCH($P585,Packages!$A:$A,0)))</f>
        <v>1</v>
      </c>
    </row>
    <row r="586" spans="1:21" hidden="1">
      <c r="A586" s="6" t="s">
        <v>47</v>
      </c>
      <c r="B586" s="6" t="s">
        <v>48</v>
      </c>
      <c r="C586" s="33">
        <v>3.3</v>
      </c>
      <c r="D586" s="34">
        <v>160</v>
      </c>
      <c r="E586" s="6" t="s">
        <v>69</v>
      </c>
      <c r="F586" s="6" t="s">
        <v>59</v>
      </c>
      <c r="G586" s="6"/>
      <c r="H586" s="7" t="s">
        <v>141</v>
      </c>
      <c r="I586" s="7"/>
      <c r="J586" s="7" t="str">
        <f t="shared" si="119"/>
        <v>JAMICON</v>
      </c>
      <c r="K586" s="7" t="str">
        <f t="shared" si="112"/>
        <v>3.3µF 160v</v>
      </c>
      <c r="L586" s="7" t="str">
        <f t="shared" si="108"/>
        <v>SK</v>
      </c>
      <c r="M586" s="31">
        <f t="shared" si="113"/>
        <v>6.3</v>
      </c>
      <c r="N586" s="31">
        <f t="shared" si="114"/>
        <v>11</v>
      </c>
      <c r="O586" s="8" t="str">
        <f t="shared" si="115"/>
        <v>Jamicon-SK</v>
      </c>
      <c r="P586" s="12" t="str">
        <f t="shared" si="110"/>
        <v>Jamicon R-06.0x11.0</v>
      </c>
      <c r="Q586" s="12" t="str">
        <f t="shared" si="116"/>
        <v>3.3µF</v>
      </c>
      <c r="R586" s="12" t="str">
        <f t="shared" si="117"/>
        <v>160v</v>
      </c>
      <c r="S586" s="8" t="str">
        <f t="shared" si="111"/>
        <v>3.3µF 160v - R06.3-11.0 Jamicon (SK)</v>
      </c>
      <c r="T586" s="8">
        <f t="shared" si="118"/>
        <v>1</v>
      </c>
      <c r="U586" s="8" t="b">
        <f>NOT(ISNA(MATCH($P586,Packages!$A:$A,0)))</f>
        <v>1</v>
      </c>
    </row>
    <row r="587" spans="1:21" hidden="1">
      <c r="A587" s="6" t="s">
        <v>47</v>
      </c>
      <c r="B587" s="6" t="s">
        <v>48</v>
      </c>
      <c r="C587" s="33">
        <v>4.7</v>
      </c>
      <c r="D587" s="34">
        <v>160</v>
      </c>
      <c r="E587" s="6" t="s">
        <v>69</v>
      </c>
      <c r="F587" s="6" t="s">
        <v>59</v>
      </c>
      <c r="G587" s="6"/>
      <c r="H587" s="7" t="s">
        <v>141</v>
      </c>
      <c r="I587" s="7"/>
      <c r="J587" s="7" t="str">
        <f t="shared" si="119"/>
        <v>JAMICON</v>
      </c>
      <c r="K587" s="7" t="str">
        <f t="shared" si="112"/>
        <v>4.7µF 160v</v>
      </c>
      <c r="L587" s="7" t="str">
        <f t="shared" si="108"/>
        <v>SK</v>
      </c>
      <c r="M587" s="31">
        <f t="shared" si="113"/>
        <v>6.3</v>
      </c>
      <c r="N587" s="31">
        <f t="shared" si="114"/>
        <v>11</v>
      </c>
      <c r="O587" s="8" t="str">
        <f t="shared" si="115"/>
        <v>Jamicon-SK</v>
      </c>
      <c r="P587" s="12" t="str">
        <f t="shared" si="110"/>
        <v>Jamicon R-06.0x11.0</v>
      </c>
      <c r="Q587" s="12" t="str">
        <f t="shared" si="116"/>
        <v>4.7µF</v>
      </c>
      <c r="R587" s="12" t="str">
        <f t="shared" si="117"/>
        <v>160v</v>
      </c>
      <c r="S587" s="8" t="str">
        <f t="shared" si="111"/>
        <v>4.7µF 160v - R06.3-11.0 Jamicon (SK)</v>
      </c>
      <c r="T587" s="8">
        <f t="shared" si="118"/>
        <v>1</v>
      </c>
      <c r="U587" s="8" t="b">
        <f>NOT(ISNA(MATCH($P587,Packages!$A:$A,0)))</f>
        <v>1</v>
      </c>
    </row>
    <row r="588" spans="1:21" hidden="1">
      <c r="A588" s="6" t="s">
        <v>47</v>
      </c>
      <c r="B588" s="6" t="s">
        <v>48</v>
      </c>
      <c r="C588" s="33">
        <v>10</v>
      </c>
      <c r="D588" s="34">
        <v>160</v>
      </c>
      <c r="E588" s="6" t="s">
        <v>108</v>
      </c>
      <c r="F588" s="6" t="s">
        <v>59</v>
      </c>
      <c r="G588" s="6"/>
      <c r="H588" s="7" t="s">
        <v>141</v>
      </c>
      <c r="I588" s="7"/>
      <c r="J588" s="7" t="str">
        <f t="shared" si="119"/>
        <v>JAMICON</v>
      </c>
      <c r="K588" s="7" t="str">
        <f t="shared" si="112"/>
        <v>10µF 160v</v>
      </c>
      <c r="L588" s="7" t="str">
        <f t="shared" si="108"/>
        <v>SK</v>
      </c>
      <c r="M588" s="31">
        <f t="shared" si="113"/>
        <v>8</v>
      </c>
      <c r="N588" s="31">
        <f t="shared" si="114"/>
        <v>11.5</v>
      </c>
      <c r="O588" s="8" t="str">
        <f t="shared" si="115"/>
        <v>Jamicon-SK</v>
      </c>
      <c r="P588" s="12" t="str">
        <f t="shared" si="110"/>
        <v>Jamicon R-08.0x12.0</v>
      </c>
      <c r="Q588" s="12" t="str">
        <f t="shared" si="116"/>
        <v>10µF</v>
      </c>
      <c r="R588" s="12" t="str">
        <f t="shared" si="117"/>
        <v>160v</v>
      </c>
      <c r="S588" s="8" t="str">
        <f t="shared" si="111"/>
        <v>10µF 160v - R08.0-11.5 Jamicon (SK)</v>
      </c>
      <c r="T588" s="8">
        <f t="shared" si="118"/>
        <v>1</v>
      </c>
      <c r="U588" s="8" t="b">
        <f>NOT(ISNA(MATCH($P588,Packages!$A:$A,0)))</f>
        <v>1</v>
      </c>
    </row>
    <row r="589" spans="1:21" hidden="1">
      <c r="A589" s="6" t="s">
        <v>47</v>
      </c>
      <c r="B589" s="6" t="s">
        <v>48</v>
      </c>
      <c r="C589" s="33">
        <v>22</v>
      </c>
      <c r="D589" s="34">
        <v>160</v>
      </c>
      <c r="E589" s="6" t="s">
        <v>74</v>
      </c>
      <c r="F589" s="6" t="s">
        <v>59</v>
      </c>
      <c r="G589" s="6"/>
      <c r="H589" s="7" t="s">
        <v>141</v>
      </c>
      <c r="I589" s="7"/>
      <c r="J589" s="7" t="str">
        <f t="shared" si="119"/>
        <v>JAMICON</v>
      </c>
      <c r="K589" s="7" t="str">
        <f t="shared" si="112"/>
        <v>22µF 160v</v>
      </c>
      <c r="L589" s="7" t="str">
        <f t="shared" si="108"/>
        <v>SK</v>
      </c>
      <c r="M589" s="31">
        <f t="shared" si="113"/>
        <v>10</v>
      </c>
      <c r="N589" s="31">
        <f t="shared" si="114"/>
        <v>16</v>
      </c>
      <c r="O589" s="8" t="str">
        <f t="shared" si="115"/>
        <v>Jamicon-SK</v>
      </c>
      <c r="P589" s="12" t="str">
        <f t="shared" si="110"/>
        <v>Jamicon R-10.0x16.0</v>
      </c>
      <c r="Q589" s="12" t="str">
        <f t="shared" si="116"/>
        <v>22µF</v>
      </c>
      <c r="R589" s="12" t="str">
        <f t="shared" si="117"/>
        <v>160v</v>
      </c>
      <c r="S589" s="8" t="str">
        <f t="shared" si="111"/>
        <v>22µF 160v - R10.0-16.0 Jamicon (SK)</v>
      </c>
      <c r="T589" s="8">
        <f t="shared" si="118"/>
        <v>1</v>
      </c>
      <c r="U589" s="8" t="b">
        <f>NOT(ISNA(MATCH($P589,Packages!$A:$A,0)))</f>
        <v>1</v>
      </c>
    </row>
    <row r="590" spans="1:21" hidden="1">
      <c r="A590" s="6" t="s">
        <v>47</v>
      </c>
      <c r="B590" s="6" t="s">
        <v>48</v>
      </c>
      <c r="C590" s="33">
        <v>33</v>
      </c>
      <c r="D590" s="34">
        <v>160</v>
      </c>
      <c r="E590" s="6" t="s">
        <v>94</v>
      </c>
      <c r="F590" s="6" t="s">
        <v>59</v>
      </c>
      <c r="G590" s="6"/>
      <c r="H590" s="7" t="s">
        <v>141</v>
      </c>
      <c r="I590" s="7"/>
      <c r="J590" s="7" t="str">
        <f t="shared" si="119"/>
        <v>JAMICON</v>
      </c>
      <c r="K590" s="7" t="str">
        <f t="shared" si="112"/>
        <v>33µF 160v</v>
      </c>
      <c r="L590" s="7" t="str">
        <f t="shared" si="108"/>
        <v>SK</v>
      </c>
      <c r="M590" s="31">
        <f t="shared" si="113"/>
        <v>10</v>
      </c>
      <c r="N590" s="31">
        <f t="shared" si="114"/>
        <v>20</v>
      </c>
      <c r="O590" s="8" t="str">
        <f t="shared" si="115"/>
        <v>Jamicon-SK</v>
      </c>
      <c r="P590" s="12" t="str">
        <f t="shared" si="110"/>
        <v>Jamicon R-10.0x20.0</v>
      </c>
      <c r="Q590" s="12" t="str">
        <f t="shared" si="116"/>
        <v>33µF</v>
      </c>
      <c r="R590" s="12" t="str">
        <f t="shared" si="117"/>
        <v>160v</v>
      </c>
      <c r="S590" s="8" t="str">
        <f t="shared" si="111"/>
        <v>33µF 160v - R10.0-20.0 Jamicon (SK)</v>
      </c>
      <c r="T590" s="8">
        <f t="shared" si="118"/>
        <v>1</v>
      </c>
      <c r="U590" s="8" t="b">
        <f>NOT(ISNA(MATCH($P590,Packages!$A:$A,0)))</f>
        <v>1</v>
      </c>
    </row>
    <row r="591" spans="1:21" hidden="1">
      <c r="A591" s="6" t="s">
        <v>47</v>
      </c>
      <c r="B591" s="6" t="s">
        <v>48</v>
      </c>
      <c r="C591" s="33">
        <v>47</v>
      </c>
      <c r="D591" s="34">
        <v>160</v>
      </c>
      <c r="E591" s="6" t="s">
        <v>95</v>
      </c>
      <c r="F591" s="6" t="s">
        <v>59</v>
      </c>
      <c r="G591" s="6"/>
      <c r="H591" s="7" t="s">
        <v>141</v>
      </c>
      <c r="I591" s="7"/>
      <c r="J591" s="7" t="str">
        <f t="shared" si="119"/>
        <v>JAMICON</v>
      </c>
      <c r="K591" s="7" t="str">
        <f t="shared" si="112"/>
        <v>47µF 160v</v>
      </c>
      <c r="L591" s="7" t="str">
        <f t="shared" si="108"/>
        <v>SK</v>
      </c>
      <c r="M591" s="31">
        <f t="shared" si="113"/>
        <v>12.5</v>
      </c>
      <c r="N591" s="31">
        <f t="shared" si="114"/>
        <v>20</v>
      </c>
      <c r="O591" s="8" t="str">
        <f t="shared" si="115"/>
        <v>Jamicon-SK</v>
      </c>
      <c r="P591" s="12" t="str">
        <f t="shared" si="110"/>
        <v>Jamicon R-13.0x20.0</v>
      </c>
      <c r="Q591" s="12" t="str">
        <f t="shared" si="116"/>
        <v>47µF</v>
      </c>
      <c r="R591" s="12" t="str">
        <f t="shared" si="117"/>
        <v>160v</v>
      </c>
      <c r="S591" s="8" t="str">
        <f t="shared" si="111"/>
        <v>47µF 160v - R12.5-20.0 Jamicon (SK)</v>
      </c>
      <c r="T591" s="8">
        <f t="shared" si="118"/>
        <v>1</v>
      </c>
      <c r="U591" s="8" t="b">
        <f>NOT(ISNA(MATCH($P591,Packages!$A:$A,0)))</f>
        <v>1</v>
      </c>
    </row>
    <row r="592" spans="1:21" hidden="1">
      <c r="A592" s="6" t="s">
        <v>47</v>
      </c>
      <c r="B592" s="6" t="s">
        <v>48</v>
      </c>
      <c r="C592" s="33">
        <v>100</v>
      </c>
      <c r="D592" s="34">
        <v>160</v>
      </c>
      <c r="E592" s="6" t="s">
        <v>96</v>
      </c>
      <c r="F592" s="6" t="s">
        <v>59</v>
      </c>
      <c r="G592" s="6"/>
      <c r="H592" s="7" t="s">
        <v>141</v>
      </c>
      <c r="I592" s="7"/>
      <c r="J592" s="7" t="str">
        <f t="shared" si="119"/>
        <v>JAMICON</v>
      </c>
      <c r="K592" s="7" t="str">
        <f t="shared" si="112"/>
        <v>100µF 160v</v>
      </c>
      <c r="L592" s="7" t="str">
        <f t="shared" si="108"/>
        <v>SK</v>
      </c>
      <c r="M592" s="31">
        <f t="shared" si="113"/>
        <v>12.5</v>
      </c>
      <c r="N592" s="31">
        <f t="shared" si="114"/>
        <v>25</v>
      </c>
      <c r="O592" s="8" t="str">
        <f t="shared" si="115"/>
        <v>Jamicon-SK</v>
      </c>
      <c r="P592" s="12" t="str">
        <f t="shared" si="110"/>
        <v>Jamicon R-13.0x25.0</v>
      </c>
      <c r="Q592" s="12" t="str">
        <f t="shared" si="116"/>
        <v>100µF</v>
      </c>
      <c r="R592" s="12" t="str">
        <f t="shared" si="117"/>
        <v>160v</v>
      </c>
      <c r="S592" s="8" t="str">
        <f t="shared" si="111"/>
        <v>100µF 160v - R12.5-25.0 Jamicon (SK)</v>
      </c>
      <c r="T592" s="8">
        <f t="shared" si="118"/>
        <v>1</v>
      </c>
      <c r="U592" s="8" t="b">
        <f>NOT(ISNA(MATCH($P592,Packages!$A:$A,0)))</f>
        <v>1</v>
      </c>
    </row>
    <row r="593" spans="1:21" hidden="1">
      <c r="A593" s="6" t="s">
        <v>47</v>
      </c>
      <c r="B593" s="6" t="s">
        <v>48</v>
      </c>
      <c r="C593" s="33">
        <v>220</v>
      </c>
      <c r="D593" s="34">
        <v>160</v>
      </c>
      <c r="E593" s="6" t="s">
        <v>99</v>
      </c>
      <c r="F593" s="6" t="s">
        <v>59</v>
      </c>
      <c r="G593" s="6"/>
      <c r="H593" s="7" t="s">
        <v>141</v>
      </c>
      <c r="I593" s="7"/>
      <c r="J593" s="7" t="str">
        <f t="shared" si="119"/>
        <v>JAMICON</v>
      </c>
      <c r="K593" s="7" t="str">
        <f t="shared" si="112"/>
        <v>220µF 160v</v>
      </c>
      <c r="L593" s="7" t="str">
        <f t="shared" si="108"/>
        <v>SK</v>
      </c>
      <c r="M593" s="31">
        <f t="shared" si="113"/>
        <v>16</v>
      </c>
      <c r="N593" s="31">
        <f t="shared" si="114"/>
        <v>35.5</v>
      </c>
      <c r="O593" s="8" t="str">
        <f t="shared" si="115"/>
        <v>Jamicon-SK</v>
      </c>
      <c r="P593" s="12" t="str">
        <f t="shared" si="110"/>
        <v>Jamicon R-16.0x36.0</v>
      </c>
      <c r="Q593" s="12" t="str">
        <f t="shared" si="116"/>
        <v>220µF</v>
      </c>
      <c r="R593" s="12" t="str">
        <f t="shared" si="117"/>
        <v>160v</v>
      </c>
      <c r="S593" s="8" t="str">
        <f t="shared" si="111"/>
        <v>220µF 160v - R16.0-35.5 Jamicon (SK)</v>
      </c>
      <c r="T593" s="8">
        <f t="shared" si="118"/>
        <v>1</v>
      </c>
      <c r="U593" s="8" t="b">
        <f>NOT(ISNA(MATCH($P593,Packages!$A:$A,0)))</f>
        <v>1</v>
      </c>
    </row>
    <row r="594" spans="1:21" hidden="1">
      <c r="A594" s="6" t="s">
        <v>47</v>
      </c>
      <c r="B594" s="6" t="s">
        <v>48</v>
      </c>
      <c r="C594" s="33">
        <v>220</v>
      </c>
      <c r="D594" s="34">
        <v>160</v>
      </c>
      <c r="E594" s="6" t="s">
        <v>102</v>
      </c>
      <c r="F594" s="6" t="s">
        <v>59</v>
      </c>
      <c r="G594" s="6"/>
      <c r="H594" s="7" t="s">
        <v>141</v>
      </c>
      <c r="I594" s="7"/>
      <c r="J594" s="7" t="str">
        <f t="shared" si="119"/>
        <v>JAMICON</v>
      </c>
      <c r="K594" s="7" t="str">
        <f t="shared" si="112"/>
        <v>220µF 160v</v>
      </c>
      <c r="L594" s="7" t="str">
        <f t="shared" si="108"/>
        <v>SK</v>
      </c>
      <c r="M594" s="31">
        <f t="shared" si="113"/>
        <v>22</v>
      </c>
      <c r="N594" s="31">
        <f t="shared" si="114"/>
        <v>30</v>
      </c>
      <c r="O594" s="8" t="str">
        <f t="shared" si="115"/>
        <v>Jamicon-SK</v>
      </c>
      <c r="P594" s="12" t="str">
        <f t="shared" si="110"/>
        <v>Jamicon R-22.0x30.0</v>
      </c>
      <c r="Q594" s="12" t="str">
        <f t="shared" si="116"/>
        <v>220µF</v>
      </c>
      <c r="R594" s="12" t="str">
        <f t="shared" si="117"/>
        <v>160v</v>
      </c>
      <c r="S594" s="8" t="str">
        <f t="shared" si="111"/>
        <v>220µF 160v - R22.0-30.0 Jamicon (SK)</v>
      </c>
      <c r="T594" s="8">
        <f t="shared" si="118"/>
        <v>1</v>
      </c>
      <c r="U594" s="8" t="b">
        <f>NOT(ISNA(MATCH($P594,Packages!$A:$A,0)))</f>
        <v>1</v>
      </c>
    </row>
    <row r="595" spans="1:21" hidden="1">
      <c r="A595" s="6" t="s">
        <v>47</v>
      </c>
      <c r="B595" s="6" t="s">
        <v>48</v>
      </c>
      <c r="C595" s="33">
        <v>330</v>
      </c>
      <c r="D595" s="34">
        <v>160</v>
      </c>
      <c r="E595" s="6" t="s">
        <v>101</v>
      </c>
      <c r="F595" s="6" t="s">
        <v>59</v>
      </c>
      <c r="G595" s="6"/>
      <c r="H595" s="7" t="s">
        <v>141</v>
      </c>
      <c r="I595" s="7"/>
      <c r="J595" s="7" t="str">
        <f t="shared" si="119"/>
        <v>JAMICON</v>
      </c>
      <c r="K595" s="7" t="str">
        <f t="shared" si="112"/>
        <v>330µF 160v</v>
      </c>
      <c r="L595" s="7" t="str">
        <f t="shared" si="108"/>
        <v>SK</v>
      </c>
      <c r="M595" s="31">
        <f t="shared" si="113"/>
        <v>18</v>
      </c>
      <c r="N595" s="31">
        <f t="shared" si="114"/>
        <v>40</v>
      </c>
      <c r="O595" s="8" t="str">
        <f t="shared" si="115"/>
        <v>Jamicon-SK</v>
      </c>
      <c r="P595" s="12" t="str">
        <f t="shared" si="110"/>
        <v>Jamicon R-18.0x40.0</v>
      </c>
      <c r="Q595" s="12" t="str">
        <f t="shared" si="116"/>
        <v>330µF</v>
      </c>
      <c r="R595" s="12" t="str">
        <f t="shared" si="117"/>
        <v>160v</v>
      </c>
      <c r="S595" s="8" t="str">
        <f t="shared" si="111"/>
        <v>330µF 160v - R18.0-40.0 Jamicon (SK)</v>
      </c>
      <c r="T595" s="8">
        <f t="shared" si="118"/>
        <v>1</v>
      </c>
      <c r="U595" s="8" t="b">
        <f>NOT(ISNA(MATCH($P595,Packages!$A:$A,0)))</f>
        <v>1</v>
      </c>
    </row>
    <row r="596" spans="1:21" hidden="1">
      <c r="A596" s="6" t="s">
        <v>47</v>
      </c>
      <c r="B596" s="6" t="s">
        <v>48</v>
      </c>
      <c r="C596" s="33">
        <v>330</v>
      </c>
      <c r="D596" s="34">
        <v>160</v>
      </c>
      <c r="E596" s="6" t="s">
        <v>102</v>
      </c>
      <c r="F596" s="6" t="s">
        <v>59</v>
      </c>
      <c r="G596" s="6"/>
      <c r="H596" s="7" t="s">
        <v>141</v>
      </c>
      <c r="I596" s="7"/>
      <c r="J596" s="7" t="str">
        <f t="shared" si="119"/>
        <v>JAMICON</v>
      </c>
      <c r="K596" s="7" t="str">
        <f t="shared" si="112"/>
        <v>330µF 160v</v>
      </c>
      <c r="L596" s="7" t="str">
        <f t="shared" si="108"/>
        <v>SK</v>
      </c>
      <c r="M596" s="31">
        <f t="shared" si="113"/>
        <v>22</v>
      </c>
      <c r="N596" s="31">
        <f t="shared" si="114"/>
        <v>30</v>
      </c>
      <c r="O596" s="8" t="str">
        <f t="shared" si="115"/>
        <v>Jamicon-SK</v>
      </c>
      <c r="P596" s="12" t="str">
        <f t="shared" si="110"/>
        <v>Jamicon R-22.0x30.0</v>
      </c>
      <c r="Q596" s="12" t="str">
        <f t="shared" si="116"/>
        <v>330µF</v>
      </c>
      <c r="R596" s="12" t="str">
        <f t="shared" si="117"/>
        <v>160v</v>
      </c>
      <c r="S596" s="8" t="str">
        <f t="shared" si="111"/>
        <v>330µF 160v - R22.0-30.0 Jamicon (SK)</v>
      </c>
      <c r="T596" s="8">
        <f t="shared" si="118"/>
        <v>1</v>
      </c>
      <c r="U596" s="8" t="b">
        <f>NOT(ISNA(MATCH($P596,Packages!$A:$A,0)))</f>
        <v>1</v>
      </c>
    </row>
    <row r="597" spans="1:21" hidden="1">
      <c r="A597" s="6" t="s">
        <v>47</v>
      </c>
      <c r="B597" s="6" t="s">
        <v>48</v>
      </c>
      <c r="C597" s="33">
        <v>470</v>
      </c>
      <c r="D597" s="34">
        <v>160</v>
      </c>
      <c r="E597" s="6" t="s">
        <v>104</v>
      </c>
      <c r="F597" s="6" t="s">
        <v>59</v>
      </c>
      <c r="G597" s="6"/>
      <c r="H597" s="7" t="s">
        <v>141</v>
      </c>
      <c r="I597" s="7"/>
      <c r="J597" s="7" t="str">
        <f t="shared" si="119"/>
        <v>JAMICON</v>
      </c>
      <c r="K597" s="7" t="str">
        <f t="shared" si="112"/>
        <v>470µF 160v</v>
      </c>
      <c r="L597" s="7" t="str">
        <f t="shared" si="108"/>
        <v>SK</v>
      </c>
      <c r="M597" s="31">
        <f t="shared" si="113"/>
        <v>22</v>
      </c>
      <c r="N597" s="31">
        <f t="shared" si="114"/>
        <v>40</v>
      </c>
      <c r="O597" s="8" t="str">
        <f t="shared" si="115"/>
        <v>Jamicon-SK</v>
      </c>
      <c r="P597" s="12" t="str">
        <f t="shared" si="110"/>
        <v>Jamicon R-22.0x40.0</v>
      </c>
      <c r="Q597" s="12" t="str">
        <f t="shared" si="116"/>
        <v>470µF</v>
      </c>
      <c r="R597" s="12" t="str">
        <f t="shared" si="117"/>
        <v>160v</v>
      </c>
      <c r="S597" s="8" t="str">
        <f t="shared" si="111"/>
        <v>470µF 160v - R22.0-40.0 Jamicon (SK)</v>
      </c>
      <c r="T597" s="8">
        <f t="shared" si="118"/>
        <v>1</v>
      </c>
      <c r="U597" s="8" t="b">
        <f>NOT(ISNA(MATCH($P597,Packages!$A:$A,0)))</f>
        <v>1</v>
      </c>
    </row>
    <row r="598" spans="1:21" hidden="1">
      <c r="A598" s="6" t="s">
        <v>47</v>
      </c>
      <c r="B598" s="6" t="s">
        <v>48</v>
      </c>
      <c r="C598" s="33">
        <v>560</v>
      </c>
      <c r="D598" s="34">
        <v>160</v>
      </c>
      <c r="E598" s="6" t="s">
        <v>105</v>
      </c>
      <c r="F598" s="6" t="s">
        <v>59</v>
      </c>
      <c r="G598" s="6"/>
      <c r="H598" s="7" t="s">
        <v>141</v>
      </c>
      <c r="I598" s="7"/>
      <c r="J598" s="7" t="str">
        <f t="shared" si="119"/>
        <v>JAMICON</v>
      </c>
      <c r="K598" s="7" t="str">
        <f t="shared" si="112"/>
        <v>560µF 160v</v>
      </c>
      <c r="L598" s="7" t="str">
        <f t="shared" si="108"/>
        <v>SK</v>
      </c>
      <c r="M598" s="31">
        <f t="shared" si="113"/>
        <v>22</v>
      </c>
      <c r="N598" s="31">
        <f t="shared" si="114"/>
        <v>45</v>
      </c>
      <c r="O598" s="8" t="str">
        <f t="shared" si="115"/>
        <v>Jamicon-SK</v>
      </c>
      <c r="P598" s="12" t="str">
        <f t="shared" si="110"/>
        <v>Jamicon R-22.0x45.0</v>
      </c>
      <c r="Q598" s="12" t="str">
        <f t="shared" si="116"/>
        <v>560µF</v>
      </c>
      <c r="R598" s="12" t="str">
        <f t="shared" si="117"/>
        <v>160v</v>
      </c>
      <c r="S598" s="8" t="str">
        <f t="shared" si="111"/>
        <v>560µF 160v - R22.0-45.0 Jamicon (SK)</v>
      </c>
      <c r="T598" s="8">
        <f t="shared" si="118"/>
        <v>1</v>
      </c>
      <c r="U598" s="8" t="b">
        <f>NOT(ISNA(MATCH($P598,Packages!$A:$A,0)))</f>
        <v>1</v>
      </c>
    </row>
    <row r="599" spans="1:21" hidden="1">
      <c r="A599" s="6" t="s">
        <v>47</v>
      </c>
      <c r="B599" s="6" t="s">
        <v>48</v>
      </c>
      <c r="C599" s="33">
        <v>680</v>
      </c>
      <c r="D599" s="34">
        <v>160</v>
      </c>
      <c r="E599" s="6" t="s">
        <v>106</v>
      </c>
      <c r="F599" s="6" t="s">
        <v>59</v>
      </c>
      <c r="G599" s="6"/>
      <c r="H599" s="7" t="s">
        <v>141</v>
      </c>
      <c r="I599" s="7"/>
      <c r="J599" s="7" t="str">
        <f t="shared" si="119"/>
        <v>JAMICON</v>
      </c>
      <c r="K599" s="7" t="str">
        <f t="shared" si="112"/>
        <v>680µF 160v</v>
      </c>
      <c r="L599" s="7" t="str">
        <f t="shared" si="108"/>
        <v>SK</v>
      </c>
      <c r="M599" s="31">
        <f t="shared" si="113"/>
        <v>22</v>
      </c>
      <c r="N599" s="31">
        <f t="shared" si="114"/>
        <v>50</v>
      </c>
      <c r="O599" s="8" t="str">
        <f t="shared" si="115"/>
        <v>Jamicon-SK</v>
      </c>
      <c r="P599" s="12" t="str">
        <f t="shared" si="110"/>
        <v>Jamicon R-22.0x50.0</v>
      </c>
      <c r="Q599" s="12" t="str">
        <f t="shared" si="116"/>
        <v>680µF</v>
      </c>
      <c r="R599" s="12" t="str">
        <f t="shared" si="117"/>
        <v>160v</v>
      </c>
      <c r="S599" s="8" t="str">
        <f t="shared" si="111"/>
        <v>680µF 160v - R22.0-50.0 Jamicon (SK)</v>
      </c>
      <c r="T599" s="8">
        <f t="shared" si="118"/>
        <v>1</v>
      </c>
      <c r="U599" s="8" t="b">
        <f>NOT(ISNA(MATCH($P599,Packages!$A:$A,0)))</f>
        <v>1</v>
      </c>
    </row>
    <row r="600" spans="1:21" hidden="1">
      <c r="A600" s="6" t="s">
        <v>47</v>
      </c>
      <c r="B600" s="6" t="s">
        <v>48</v>
      </c>
      <c r="C600" s="33">
        <v>820</v>
      </c>
      <c r="D600" s="34">
        <v>160</v>
      </c>
      <c r="E600" s="6" t="s">
        <v>86</v>
      </c>
      <c r="F600" s="6" t="s">
        <v>59</v>
      </c>
      <c r="G600" s="6"/>
      <c r="H600" s="7" t="s">
        <v>141</v>
      </c>
      <c r="I600" s="7"/>
      <c r="J600" s="7" t="str">
        <f t="shared" si="119"/>
        <v>JAMICON</v>
      </c>
      <c r="K600" s="7" t="str">
        <f t="shared" si="112"/>
        <v>820µF 160v</v>
      </c>
      <c r="L600" s="7" t="str">
        <f t="shared" ref="L600:L663" si="120">B600</f>
        <v>SK</v>
      </c>
      <c r="M600" s="31">
        <f t="shared" si="113"/>
        <v>25</v>
      </c>
      <c r="N600" s="31">
        <f t="shared" si="114"/>
        <v>50</v>
      </c>
      <c r="O600" s="8" t="str">
        <f t="shared" si="115"/>
        <v>Jamicon-SK</v>
      </c>
      <c r="P600" s="12" t="str">
        <f t="shared" si="110"/>
        <v>Jamicon R-25.0x50.0</v>
      </c>
      <c r="Q600" s="12" t="str">
        <f t="shared" si="116"/>
        <v>820µF</v>
      </c>
      <c r="R600" s="12" t="str">
        <f t="shared" si="117"/>
        <v>160v</v>
      </c>
      <c r="S600" s="8" t="str">
        <f t="shared" si="111"/>
        <v>820µF 160v - R25.0-50.0 Jamicon (SK)</v>
      </c>
      <c r="T600" s="8">
        <f t="shared" si="118"/>
        <v>1</v>
      </c>
      <c r="U600" s="8" t="b">
        <f>NOT(ISNA(MATCH($P600,Packages!$A:$A,0)))</f>
        <v>1</v>
      </c>
    </row>
    <row r="601" spans="1:21" hidden="1">
      <c r="A601" s="6" t="s">
        <v>47</v>
      </c>
      <c r="B601" s="6" t="s">
        <v>48</v>
      </c>
      <c r="C601" s="33">
        <v>0.47</v>
      </c>
      <c r="D601" s="34">
        <v>200</v>
      </c>
      <c r="E601" s="6" t="s">
        <v>69</v>
      </c>
      <c r="F601" s="6" t="s">
        <v>59</v>
      </c>
      <c r="G601" s="6"/>
      <c r="H601" s="7" t="s">
        <v>141</v>
      </c>
      <c r="I601" s="7"/>
      <c r="J601" s="7" t="str">
        <f t="shared" si="119"/>
        <v>JAMICON</v>
      </c>
      <c r="K601" s="7" t="str">
        <f t="shared" si="112"/>
        <v>0.47µF 200v</v>
      </c>
      <c r="L601" s="7" t="str">
        <f t="shared" si="120"/>
        <v>SK</v>
      </c>
      <c r="M601" s="31">
        <f t="shared" si="113"/>
        <v>6.3</v>
      </c>
      <c r="N601" s="31">
        <f t="shared" si="114"/>
        <v>11</v>
      </c>
      <c r="O601" s="8" t="str">
        <f t="shared" si="115"/>
        <v>Jamicon-SK</v>
      </c>
      <c r="P601" s="12" t="str">
        <f t="shared" si="110"/>
        <v>Jamicon R-06.0x11.0</v>
      </c>
      <c r="Q601" s="12" t="str">
        <f t="shared" si="116"/>
        <v>0.47µF</v>
      </c>
      <c r="R601" s="12" t="str">
        <f t="shared" si="117"/>
        <v>200v</v>
      </c>
      <c r="S601" s="8" t="str">
        <f t="shared" si="111"/>
        <v>0.47µF 200v - R06.3-11.0 Jamicon (SK)</v>
      </c>
      <c r="T601" s="8">
        <f t="shared" si="118"/>
        <v>1</v>
      </c>
      <c r="U601" s="8" t="b">
        <f>NOT(ISNA(MATCH($P601,Packages!$A:$A,0)))</f>
        <v>1</v>
      </c>
    </row>
    <row r="602" spans="1:21" hidden="1">
      <c r="A602" s="6" t="s">
        <v>47</v>
      </c>
      <c r="B602" s="6" t="s">
        <v>48</v>
      </c>
      <c r="C602" s="33">
        <v>1</v>
      </c>
      <c r="D602" s="34">
        <v>200</v>
      </c>
      <c r="E602" s="6" t="s">
        <v>69</v>
      </c>
      <c r="F602" s="6" t="s">
        <v>59</v>
      </c>
      <c r="G602" s="6"/>
      <c r="H602" s="7" t="s">
        <v>141</v>
      </c>
      <c r="I602" s="7"/>
      <c r="J602" s="7" t="str">
        <f t="shared" si="119"/>
        <v>JAMICON</v>
      </c>
      <c r="K602" s="7" t="str">
        <f t="shared" si="112"/>
        <v>1µF 200v</v>
      </c>
      <c r="L602" s="7" t="str">
        <f t="shared" si="120"/>
        <v>SK</v>
      </c>
      <c r="M602" s="31">
        <f t="shared" si="113"/>
        <v>6.3</v>
      </c>
      <c r="N602" s="31">
        <f t="shared" si="114"/>
        <v>11</v>
      </c>
      <c r="O602" s="8" t="str">
        <f t="shared" si="115"/>
        <v>Jamicon-SK</v>
      </c>
      <c r="P602" s="12" t="str">
        <f t="shared" si="110"/>
        <v>Jamicon R-06.0x11.0</v>
      </c>
      <c r="Q602" s="12" t="str">
        <f t="shared" si="116"/>
        <v>1µF</v>
      </c>
      <c r="R602" s="12" t="str">
        <f t="shared" si="117"/>
        <v>200v</v>
      </c>
      <c r="S602" s="8" t="str">
        <f t="shared" si="111"/>
        <v>1µF 200v - R06.3-11.0 Jamicon (SK)</v>
      </c>
      <c r="T602" s="8">
        <f t="shared" si="118"/>
        <v>1</v>
      </c>
      <c r="U602" s="8" t="b">
        <f>NOT(ISNA(MATCH($P602,Packages!$A:$A,0)))</f>
        <v>1</v>
      </c>
    </row>
    <row r="603" spans="1:21" hidden="1">
      <c r="A603" s="6" t="s">
        <v>47</v>
      </c>
      <c r="B603" s="6" t="s">
        <v>48</v>
      </c>
      <c r="C603" s="33">
        <v>2.2000000000000002</v>
      </c>
      <c r="D603" s="34">
        <v>200</v>
      </c>
      <c r="E603" s="6" t="s">
        <v>69</v>
      </c>
      <c r="F603" s="6" t="s">
        <v>59</v>
      </c>
      <c r="G603" s="6"/>
      <c r="H603" s="7" t="s">
        <v>141</v>
      </c>
      <c r="I603" s="7"/>
      <c r="J603" s="7" t="str">
        <f t="shared" si="119"/>
        <v>JAMICON</v>
      </c>
      <c r="K603" s="7" t="str">
        <f t="shared" si="112"/>
        <v>2.2µF 200v</v>
      </c>
      <c r="L603" s="7" t="str">
        <f t="shared" si="120"/>
        <v>SK</v>
      </c>
      <c r="M603" s="31">
        <f t="shared" si="113"/>
        <v>6.3</v>
      </c>
      <c r="N603" s="31">
        <f t="shared" si="114"/>
        <v>11</v>
      </c>
      <c r="O603" s="8" t="str">
        <f t="shared" si="115"/>
        <v>Jamicon-SK</v>
      </c>
      <c r="P603" s="12" t="str">
        <f t="shared" si="110"/>
        <v>Jamicon R-06.0x11.0</v>
      </c>
      <c r="Q603" s="12" t="str">
        <f t="shared" si="116"/>
        <v>2.2µF</v>
      </c>
      <c r="R603" s="12" t="str">
        <f t="shared" si="117"/>
        <v>200v</v>
      </c>
      <c r="S603" s="8" t="str">
        <f t="shared" si="111"/>
        <v>2.2µF 200v - R06.3-11.0 Jamicon (SK)</v>
      </c>
      <c r="T603" s="8">
        <f t="shared" si="118"/>
        <v>1</v>
      </c>
      <c r="U603" s="8" t="b">
        <f>NOT(ISNA(MATCH($P603,Packages!$A:$A,0)))</f>
        <v>1</v>
      </c>
    </row>
    <row r="604" spans="1:21" hidden="1">
      <c r="A604" s="6" t="s">
        <v>47</v>
      </c>
      <c r="B604" s="6" t="s">
        <v>48</v>
      </c>
      <c r="C604" s="33">
        <v>3.3</v>
      </c>
      <c r="D604" s="34">
        <v>200</v>
      </c>
      <c r="E604" s="6" t="s">
        <v>69</v>
      </c>
      <c r="F604" s="6" t="s">
        <v>59</v>
      </c>
      <c r="G604" s="6"/>
      <c r="H604" s="7" t="s">
        <v>141</v>
      </c>
      <c r="I604" s="7"/>
      <c r="J604" s="7" t="str">
        <f t="shared" si="119"/>
        <v>JAMICON</v>
      </c>
      <c r="K604" s="7" t="str">
        <f t="shared" si="112"/>
        <v>3.3µF 200v</v>
      </c>
      <c r="L604" s="7" t="str">
        <f t="shared" si="120"/>
        <v>SK</v>
      </c>
      <c r="M604" s="31">
        <f t="shared" si="113"/>
        <v>6.3</v>
      </c>
      <c r="N604" s="31">
        <f t="shared" si="114"/>
        <v>11</v>
      </c>
      <c r="O604" s="8" t="str">
        <f t="shared" si="115"/>
        <v>Jamicon-SK</v>
      </c>
      <c r="P604" s="12" t="str">
        <f t="shared" si="110"/>
        <v>Jamicon R-06.0x11.0</v>
      </c>
      <c r="Q604" s="12" t="str">
        <f t="shared" si="116"/>
        <v>3.3µF</v>
      </c>
      <c r="R604" s="12" t="str">
        <f t="shared" si="117"/>
        <v>200v</v>
      </c>
      <c r="S604" s="8" t="str">
        <f t="shared" si="111"/>
        <v>3.3µF 200v - R06.3-11.0 Jamicon (SK)</v>
      </c>
      <c r="T604" s="8">
        <f t="shared" si="118"/>
        <v>1</v>
      </c>
      <c r="U604" s="8" t="b">
        <f>NOT(ISNA(MATCH($P604,Packages!$A:$A,0)))</f>
        <v>1</v>
      </c>
    </row>
    <row r="605" spans="1:21" hidden="1">
      <c r="A605" s="6" t="s">
        <v>47</v>
      </c>
      <c r="B605" s="6" t="s">
        <v>48</v>
      </c>
      <c r="C605" s="33">
        <v>4.7</v>
      </c>
      <c r="D605" s="34">
        <v>200</v>
      </c>
      <c r="E605" s="6" t="s">
        <v>108</v>
      </c>
      <c r="F605" s="6" t="s">
        <v>59</v>
      </c>
      <c r="G605" s="6"/>
      <c r="H605" s="7" t="s">
        <v>141</v>
      </c>
      <c r="I605" s="7"/>
      <c r="J605" s="7" t="str">
        <f t="shared" si="119"/>
        <v>JAMICON</v>
      </c>
      <c r="K605" s="7" t="str">
        <f t="shared" si="112"/>
        <v>4.7µF 200v</v>
      </c>
      <c r="L605" s="7" t="str">
        <f t="shared" si="120"/>
        <v>SK</v>
      </c>
      <c r="M605" s="31">
        <f t="shared" si="113"/>
        <v>8</v>
      </c>
      <c r="N605" s="31">
        <f t="shared" si="114"/>
        <v>11.5</v>
      </c>
      <c r="O605" s="8" t="str">
        <f t="shared" si="115"/>
        <v>Jamicon-SK</v>
      </c>
      <c r="P605" s="12" t="str">
        <f t="shared" si="110"/>
        <v>Jamicon R-08.0x12.0</v>
      </c>
      <c r="Q605" s="12" t="str">
        <f t="shared" si="116"/>
        <v>4.7µF</v>
      </c>
      <c r="R605" s="12" t="str">
        <f t="shared" si="117"/>
        <v>200v</v>
      </c>
      <c r="S605" s="8" t="str">
        <f t="shared" si="111"/>
        <v>4.7µF 200v - R08.0-11.5 Jamicon (SK)</v>
      </c>
      <c r="T605" s="8">
        <f t="shared" si="118"/>
        <v>1</v>
      </c>
      <c r="U605" s="8" t="b">
        <f>NOT(ISNA(MATCH($P605,Packages!$A:$A,0)))</f>
        <v>1</v>
      </c>
    </row>
    <row r="606" spans="1:21" hidden="1">
      <c r="A606" s="6" t="s">
        <v>47</v>
      </c>
      <c r="B606" s="6" t="s">
        <v>48</v>
      </c>
      <c r="C606" s="33">
        <v>10</v>
      </c>
      <c r="D606" s="34">
        <v>200</v>
      </c>
      <c r="E606" s="6" t="s">
        <v>92</v>
      </c>
      <c r="F606" s="6" t="s">
        <v>59</v>
      </c>
      <c r="G606" s="6"/>
      <c r="H606" s="7" t="s">
        <v>141</v>
      </c>
      <c r="I606" s="7"/>
      <c r="J606" s="7" t="str">
        <f t="shared" si="119"/>
        <v>JAMICON</v>
      </c>
      <c r="K606" s="7" t="str">
        <f t="shared" si="112"/>
        <v>10µF 200v</v>
      </c>
      <c r="L606" s="7" t="str">
        <f t="shared" si="120"/>
        <v>SK</v>
      </c>
      <c r="M606" s="31">
        <f t="shared" si="113"/>
        <v>10</v>
      </c>
      <c r="N606" s="31">
        <f t="shared" si="114"/>
        <v>12.5</v>
      </c>
      <c r="O606" s="8" t="str">
        <f t="shared" si="115"/>
        <v>Jamicon-SK</v>
      </c>
      <c r="P606" s="12" t="str">
        <f t="shared" si="110"/>
        <v>Jamicon R-10.0x13.0</v>
      </c>
      <c r="Q606" s="12" t="str">
        <f t="shared" si="116"/>
        <v>10µF</v>
      </c>
      <c r="R606" s="12" t="str">
        <f t="shared" si="117"/>
        <v>200v</v>
      </c>
      <c r="S606" s="8" t="str">
        <f t="shared" si="111"/>
        <v>10µF 200v - R10.0-12.5 Jamicon (SK)</v>
      </c>
      <c r="T606" s="8">
        <f t="shared" si="118"/>
        <v>1</v>
      </c>
      <c r="U606" s="8" t="b">
        <f>NOT(ISNA(MATCH($P606,Packages!$A:$A,0)))</f>
        <v>1</v>
      </c>
    </row>
    <row r="607" spans="1:21" hidden="1">
      <c r="A607" s="6" t="s">
        <v>47</v>
      </c>
      <c r="B607" s="6" t="s">
        <v>48</v>
      </c>
      <c r="C607" s="33">
        <v>22</v>
      </c>
      <c r="D607" s="34">
        <v>200</v>
      </c>
      <c r="E607" s="6" t="s">
        <v>94</v>
      </c>
      <c r="F607" s="6" t="s">
        <v>59</v>
      </c>
      <c r="G607" s="6"/>
      <c r="H607" s="7" t="s">
        <v>141</v>
      </c>
      <c r="I607" s="7"/>
      <c r="J607" s="7" t="str">
        <f t="shared" si="119"/>
        <v>JAMICON</v>
      </c>
      <c r="K607" s="7" t="str">
        <f t="shared" si="112"/>
        <v>22µF 200v</v>
      </c>
      <c r="L607" s="7" t="str">
        <f t="shared" si="120"/>
        <v>SK</v>
      </c>
      <c r="M607" s="31">
        <f t="shared" si="113"/>
        <v>10</v>
      </c>
      <c r="N607" s="31">
        <f t="shared" si="114"/>
        <v>20</v>
      </c>
      <c r="O607" s="8" t="str">
        <f t="shared" si="115"/>
        <v>Jamicon-SK</v>
      </c>
      <c r="P607" s="12" t="str">
        <f t="shared" si="110"/>
        <v>Jamicon R-10.0x20.0</v>
      </c>
      <c r="Q607" s="12" t="str">
        <f t="shared" si="116"/>
        <v>22µF</v>
      </c>
      <c r="R607" s="12" t="str">
        <f t="shared" si="117"/>
        <v>200v</v>
      </c>
      <c r="S607" s="8" t="str">
        <f t="shared" si="111"/>
        <v>22µF 200v - R10.0-20.0 Jamicon (SK)</v>
      </c>
      <c r="T607" s="8">
        <f t="shared" si="118"/>
        <v>1</v>
      </c>
      <c r="U607" s="8" t="b">
        <f>NOT(ISNA(MATCH($P607,Packages!$A:$A,0)))</f>
        <v>1</v>
      </c>
    </row>
    <row r="608" spans="1:21" hidden="1">
      <c r="A608" s="6" t="s">
        <v>47</v>
      </c>
      <c r="B608" s="6" t="s">
        <v>48</v>
      </c>
      <c r="C608" s="33">
        <v>33</v>
      </c>
      <c r="D608" s="34">
        <v>200</v>
      </c>
      <c r="E608" s="6" t="s">
        <v>95</v>
      </c>
      <c r="F608" s="6" t="s">
        <v>59</v>
      </c>
      <c r="G608" s="6"/>
      <c r="H608" s="7" t="s">
        <v>141</v>
      </c>
      <c r="I608" s="7"/>
      <c r="J608" s="7" t="str">
        <f t="shared" si="119"/>
        <v>JAMICON</v>
      </c>
      <c r="K608" s="7" t="str">
        <f t="shared" si="112"/>
        <v>33µF 200v</v>
      </c>
      <c r="L608" s="7" t="str">
        <f t="shared" si="120"/>
        <v>SK</v>
      </c>
      <c r="M608" s="31">
        <f t="shared" si="113"/>
        <v>12.5</v>
      </c>
      <c r="N608" s="31">
        <f t="shared" si="114"/>
        <v>20</v>
      </c>
      <c r="O608" s="8" t="str">
        <f t="shared" si="115"/>
        <v>Jamicon-SK</v>
      </c>
      <c r="P608" s="12" t="str">
        <f t="shared" si="110"/>
        <v>Jamicon R-13.0x20.0</v>
      </c>
      <c r="Q608" s="12" t="str">
        <f t="shared" si="116"/>
        <v>33µF</v>
      </c>
      <c r="R608" s="12" t="str">
        <f t="shared" si="117"/>
        <v>200v</v>
      </c>
      <c r="S608" s="8" t="str">
        <f t="shared" si="111"/>
        <v>33µF 200v - R12.5-20.0 Jamicon (SK)</v>
      </c>
      <c r="T608" s="8">
        <f t="shared" si="118"/>
        <v>1</v>
      </c>
      <c r="U608" s="8" t="b">
        <f>NOT(ISNA(MATCH($P608,Packages!$A:$A,0)))</f>
        <v>1</v>
      </c>
    </row>
    <row r="609" spans="1:21" hidden="1">
      <c r="A609" s="6" t="s">
        <v>47</v>
      </c>
      <c r="B609" s="6" t="s">
        <v>48</v>
      </c>
      <c r="C609" s="33">
        <v>47</v>
      </c>
      <c r="D609" s="34">
        <v>200</v>
      </c>
      <c r="E609" s="6" t="s">
        <v>95</v>
      </c>
      <c r="F609" s="6" t="s">
        <v>59</v>
      </c>
      <c r="G609" s="6"/>
      <c r="H609" s="7" t="s">
        <v>141</v>
      </c>
      <c r="I609" s="7"/>
      <c r="J609" s="7" t="str">
        <f t="shared" si="119"/>
        <v>JAMICON</v>
      </c>
      <c r="K609" s="7" t="str">
        <f t="shared" si="112"/>
        <v>47µF 200v</v>
      </c>
      <c r="L609" s="7" t="str">
        <f t="shared" si="120"/>
        <v>SK</v>
      </c>
      <c r="M609" s="31">
        <f t="shared" si="113"/>
        <v>12.5</v>
      </c>
      <c r="N609" s="31">
        <f t="shared" si="114"/>
        <v>20</v>
      </c>
      <c r="O609" s="8" t="str">
        <f t="shared" si="115"/>
        <v>Jamicon-SK</v>
      </c>
      <c r="P609" s="12" t="str">
        <f t="shared" si="110"/>
        <v>Jamicon R-13.0x20.0</v>
      </c>
      <c r="Q609" s="12" t="str">
        <f t="shared" si="116"/>
        <v>47µF</v>
      </c>
      <c r="R609" s="12" t="str">
        <f t="shared" si="117"/>
        <v>200v</v>
      </c>
      <c r="S609" s="8" t="str">
        <f t="shared" si="111"/>
        <v>47µF 200v - R12.5-20.0 Jamicon (SK)</v>
      </c>
      <c r="T609" s="8">
        <f t="shared" si="118"/>
        <v>1</v>
      </c>
      <c r="U609" s="8" t="b">
        <f>NOT(ISNA(MATCH($P609,Packages!$A:$A,0)))</f>
        <v>1</v>
      </c>
    </row>
    <row r="610" spans="1:21" hidden="1">
      <c r="A610" s="6" t="s">
        <v>47</v>
      </c>
      <c r="B610" s="6" t="s">
        <v>48</v>
      </c>
      <c r="C610" s="33">
        <v>100</v>
      </c>
      <c r="D610" s="34">
        <v>200</v>
      </c>
      <c r="E610" s="6" t="s">
        <v>97</v>
      </c>
      <c r="F610" s="6" t="s">
        <v>59</v>
      </c>
      <c r="G610" s="6"/>
      <c r="H610" s="7" t="s">
        <v>141</v>
      </c>
      <c r="I610" s="7"/>
      <c r="J610" s="7" t="str">
        <f t="shared" si="119"/>
        <v>JAMICON</v>
      </c>
      <c r="K610" s="7" t="str">
        <f t="shared" si="112"/>
        <v>100µF 200v</v>
      </c>
      <c r="L610" s="7" t="str">
        <f t="shared" si="120"/>
        <v>SK</v>
      </c>
      <c r="M610" s="31">
        <f t="shared" si="113"/>
        <v>16</v>
      </c>
      <c r="N610" s="31">
        <f t="shared" si="114"/>
        <v>25</v>
      </c>
      <c r="O610" s="8" t="str">
        <f t="shared" si="115"/>
        <v>Jamicon-SK</v>
      </c>
      <c r="P610" s="12" t="str">
        <f t="shared" si="110"/>
        <v>Jamicon R-16.0x25.0</v>
      </c>
      <c r="Q610" s="12" t="str">
        <f t="shared" si="116"/>
        <v>100µF</v>
      </c>
      <c r="R610" s="12" t="str">
        <f t="shared" si="117"/>
        <v>200v</v>
      </c>
      <c r="S610" s="8" t="str">
        <f t="shared" si="111"/>
        <v>100µF 200v - R16.0-25.0 Jamicon (SK)</v>
      </c>
      <c r="T610" s="8">
        <f t="shared" si="118"/>
        <v>1</v>
      </c>
      <c r="U610" s="8" t="b">
        <f>NOT(ISNA(MATCH($P610,Packages!$A:$A,0)))</f>
        <v>1</v>
      </c>
    </row>
    <row r="611" spans="1:21" hidden="1">
      <c r="A611" s="6" t="s">
        <v>47</v>
      </c>
      <c r="B611" s="6" t="s">
        <v>48</v>
      </c>
      <c r="C611" s="33">
        <v>220</v>
      </c>
      <c r="D611" s="34">
        <v>200</v>
      </c>
      <c r="E611" s="6" t="s">
        <v>101</v>
      </c>
      <c r="F611" s="6" t="s">
        <v>59</v>
      </c>
      <c r="G611" s="6"/>
      <c r="H611" s="7" t="s">
        <v>141</v>
      </c>
      <c r="I611" s="7"/>
      <c r="J611" s="7" t="str">
        <f t="shared" si="119"/>
        <v>JAMICON</v>
      </c>
      <c r="K611" s="7" t="str">
        <f t="shared" si="112"/>
        <v>220µF 200v</v>
      </c>
      <c r="L611" s="7" t="str">
        <f t="shared" si="120"/>
        <v>SK</v>
      </c>
      <c r="M611" s="31">
        <f t="shared" si="113"/>
        <v>18</v>
      </c>
      <c r="N611" s="31">
        <f t="shared" si="114"/>
        <v>40</v>
      </c>
      <c r="O611" s="8" t="str">
        <f t="shared" si="115"/>
        <v>Jamicon-SK</v>
      </c>
      <c r="P611" s="12" t="str">
        <f t="shared" si="110"/>
        <v>Jamicon R-18.0x40.0</v>
      </c>
      <c r="Q611" s="12" t="str">
        <f t="shared" si="116"/>
        <v>220µF</v>
      </c>
      <c r="R611" s="12" t="str">
        <f t="shared" si="117"/>
        <v>200v</v>
      </c>
      <c r="S611" s="8" t="str">
        <f t="shared" si="111"/>
        <v>220µF 200v - R18.0-40.0 Jamicon (SK)</v>
      </c>
      <c r="T611" s="8">
        <f t="shared" si="118"/>
        <v>1</v>
      </c>
      <c r="U611" s="8" t="b">
        <f>NOT(ISNA(MATCH($P611,Packages!$A:$A,0)))</f>
        <v>1</v>
      </c>
    </row>
    <row r="612" spans="1:21" hidden="1">
      <c r="A612" s="6" t="s">
        <v>47</v>
      </c>
      <c r="B612" s="6" t="s">
        <v>48</v>
      </c>
      <c r="C612" s="33">
        <v>220</v>
      </c>
      <c r="D612" s="34">
        <v>200</v>
      </c>
      <c r="E612" s="6" t="s">
        <v>102</v>
      </c>
      <c r="F612" s="6" t="s">
        <v>59</v>
      </c>
      <c r="G612" s="6"/>
      <c r="H612" s="7" t="s">
        <v>141</v>
      </c>
      <c r="I612" s="7"/>
      <c r="J612" s="7" t="str">
        <f t="shared" si="119"/>
        <v>JAMICON</v>
      </c>
      <c r="K612" s="7" t="str">
        <f t="shared" si="112"/>
        <v>220µF 200v</v>
      </c>
      <c r="L612" s="7" t="str">
        <f t="shared" si="120"/>
        <v>SK</v>
      </c>
      <c r="M612" s="31">
        <f t="shared" si="113"/>
        <v>22</v>
      </c>
      <c r="N612" s="31">
        <f t="shared" si="114"/>
        <v>30</v>
      </c>
      <c r="O612" s="8" t="str">
        <f t="shared" si="115"/>
        <v>Jamicon-SK</v>
      </c>
      <c r="P612" s="12" t="str">
        <f t="shared" si="110"/>
        <v>Jamicon R-22.0x30.0</v>
      </c>
      <c r="Q612" s="12" t="str">
        <f t="shared" si="116"/>
        <v>220µF</v>
      </c>
      <c r="R612" s="12" t="str">
        <f t="shared" si="117"/>
        <v>200v</v>
      </c>
      <c r="S612" s="8" t="str">
        <f t="shared" si="111"/>
        <v>220µF 200v - R22.0-30.0 Jamicon (SK)</v>
      </c>
      <c r="T612" s="8">
        <f t="shared" si="118"/>
        <v>1</v>
      </c>
      <c r="U612" s="8" t="b">
        <f>NOT(ISNA(MATCH($P612,Packages!$A:$A,0)))</f>
        <v>1</v>
      </c>
    </row>
    <row r="613" spans="1:21" hidden="1">
      <c r="A613" s="6" t="s">
        <v>47</v>
      </c>
      <c r="B613" s="6" t="s">
        <v>48</v>
      </c>
      <c r="C613" s="33">
        <v>330</v>
      </c>
      <c r="D613" s="34">
        <v>200</v>
      </c>
      <c r="E613" s="6" t="s">
        <v>104</v>
      </c>
      <c r="F613" s="6" t="s">
        <v>59</v>
      </c>
      <c r="G613" s="6"/>
      <c r="H613" s="7" t="s">
        <v>141</v>
      </c>
      <c r="I613" s="7"/>
      <c r="J613" s="7" t="str">
        <f t="shared" si="119"/>
        <v>JAMICON</v>
      </c>
      <c r="K613" s="7" t="str">
        <f t="shared" si="112"/>
        <v>330µF 200v</v>
      </c>
      <c r="L613" s="7" t="str">
        <f t="shared" si="120"/>
        <v>SK</v>
      </c>
      <c r="M613" s="31">
        <f t="shared" si="113"/>
        <v>22</v>
      </c>
      <c r="N613" s="31">
        <f t="shared" si="114"/>
        <v>40</v>
      </c>
      <c r="O613" s="8" t="str">
        <f t="shared" si="115"/>
        <v>Jamicon-SK</v>
      </c>
      <c r="P613" s="12" t="str">
        <f t="shared" si="110"/>
        <v>Jamicon R-22.0x40.0</v>
      </c>
      <c r="Q613" s="12" t="str">
        <f t="shared" si="116"/>
        <v>330µF</v>
      </c>
      <c r="R613" s="12" t="str">
        <f t="shared" si="117"/>
        <v>200v</v>
      </c>
      <c r="S613" s="8" t="str">
        <f t="shared" si="111"/>
        <v>330µF 200v - R22.0-40.0 Jamicon (SK)</v>
      </c>
      <c r="T613" s="8">
        <f t="shared" si="118"/>
        <v>1</v>
      </c>
      <c r="U613" s="8" t="b">
        <f>NOT(ISNA(MATCH($P613,Packages!$A:$A,0)))</f>
        <v>1</v>
      </c>
    </row>
    <row r="614" spans="1:21" hidden="1">
      <c r="A614" s="6" t="s">
        <v>47</v>
      </c>
      <c r="B614" s="6" t="s">
        <v>48</v>
      </c>
      <c r="C614" s="33">
        <v>470</v>
      </c>
      <c r="D614" s="34">
        <v>200</v>
      </c>
      <c r="E614" s="6" t="s">
        <v>105</v>
      </c>
      <c r="F614" s="6" t="s">
        <v>59</v>
      </c>
      <c r="G614" s="6"/>
      <c r="H614" s="7" t="s">
        <v>141</v>
      </c>
      <c r="I614" s="7"/>
      <c r="J614" s="7" t="str">
        <f t="shared" si="119"/>
        <v>JAMICON</v>
      </c>
      <c r="K614" s="7" t="str">
        <f t="shared" si="112"/>
        <v>470µF 200v</v>
      </c>
      <c r="L614" s="7" t="str">
        <f t="shared" si="120"/>
        <v>SK</v>
      </c>
      <c r="M614" s="31">
        <f t="shared" si="113"/>
        <v>22</v>
      </c>
      <c r="N614" s="31">
        <f t="shared" si="114"/>
        <v>45</v>
      </c>
      <c r="O614" s="8" t="str">
        <f t="shared" si="115"/>
        <v>Jamicon-SK</v>
      </c>
      <c r="P614" s="12" t="str">
        <f t="shared" si="110"/>
        <v>Jamicon R-22.0x45.0</v>
      </c>
      <c r="Q614" s="12" t="str">
        <f t="shared" si="116"/>
        <v>470µF</v>
      </c>
      <c r="R614" s="12" t="str">
        <f t="shared" si="117"/>
        <v>200v</v>
      </c>
      <c r="S614" s="8" t="str">
        <f t="shared" si="111"/>
        <v>470µF 200v - R22.0-45.0 Jamicon (SK)</v>
      </c>
      <c r="T614" s="8">
        <f t="shared" si="118"/>
        <v>1</v>
      </c>
      <c r="U614" s="8" t="b">
        <f>NOT(ISNA(MATCH($P614,Packages!$A:$A,0)))</f>
        <v>1</v>
      </c>
    </row>
    <row r="615" spans="1:21" hidden="1">
      <c r="A615" s="6" t="s">
        <v>47</v>
      </c>
      <c r="B615" s="6" t="s">
        <v>48</v>
      </c>
      <c r="C615" s="33">
        <v>560</v>
      </c>
      <c r="D615" s="34">
        <v>200</v>
      </c>
      <c r="E615" s="6" t="s">
        <v>106</v>
      </c>
      <c r="F615" s="6" t="s">
        <v>59</v>
      </c>
      <c r="G615" s="6"/>
      <c r="H615" s="7" t="s">
        <v>141</v>
      </c>
      <c r="I615" s="7"/>
      <c r="J615" s="7" t="str">
        <f t="shared" si="119"/>
        <v>JAMICON</v>
      </c>
      <c r="K615" s="7" t="str">
        <f t="shared" si="112"/>
        <v>560µF 200v</v>
      </c>
      <c r="L615" s="7" t="str">
        <f t="shared" si="120"/>
        <v>SK</v>
      </c>
      <c r="M615" s="31">
        <f t="shared" si="113"/>
        <v>22</v>
      </c>
      <c r="N615" s="31">
        <f t="shared" si="114"/>
        <v>50</v>
      </c>
      <c r="O615" s="8" t="str">
        <f t="shared" si="115"/>
        <v>Jamicon-SK</v>
      </c>
      <c r="P615" s="12" t="str">
        <f t="shared" si="110"/>
        <v>Jamicon R-22.0x50.0</v>
      </c>
      <c r="Q615" s="12" t="str">
        <f t="shared" si="116"/>
        <v>560µF</v>
      </c>
      <c r="R615" s="12" t="str">
        <f t="shared" si="117"/>
        <v>200v</v>
      </c>
      <c r="S615" s="8" t="str">
        <f t="shared" si="111"/>
        <v>560µF 200v - R22.0-50.0 Jamicon (SK)</v>
      </c>
      <c r="T615" s="8">
        <f t="shared" si="118"/>
        <v>1</v>
      </c>
      <c r="U615" s="8" t="b">
        <f>NOT(ISNA(MATCH($P615,Packages!$A:$A,0)))</f>
        <v>1</v>
      </c>
    </row>
    <row r="616" spans="1:21" hidden="1">
      <c r="A616" s="6" t="s">
        <v>47</v>
      </c>
      <c r="B616" s="6" t="s">
        <v>48</v>
      </c>
      <c r="C616" s="33">
        <v>680</v>
      </c>
      <c r="D616" s="34">
        <v>200</v>
      </c>
      <c r="E616" s="6" t="s">
        <v>86</v>
      </c>
      <c r="F616" s="6" t="s">
        <v>59</v>
      </c>
      <c r="G616" s="6"/>
      <c r="H616" s="7" t="s">
        <v>141</v>
      </c>
      <c r="I616" s="7"/>
      <c r="J616" s="7" t="str">
        <f t="shared" si="119"/>
        <v>JAMICON</v>
      </c>
      <c r="K616" s="7" t="str">
        <f t="shared" si="112"/>
        <v>680µF 200v</v>
      </c>
      <c r="L616" s="7" t="str">
        <f t="shared" si="120"/>
        <v>SK</v>
      </c>
      <c r="M616" s="31">
        <f t="shared" si="113"/>
        <v>25</v>
      </c>
      <c r="N616" s="31">
        <f t="shared" si="114"/>
        <v>50</v>
      </c>
      <c r="O616" s="8" t="str">
        <f t="shared" si="115"/>
        <v>Jamicon-SK</v>
      </c>
      <c r="P616" s="12" t="str">
        <f t="shared" si="110"/>
        <v>Jamicon R-25.0x50.0</v>
      </c>
      <c r="Q616" s="12" t="str">
        <f t="shared" si="116"/>
        <v>680µF</v>
      </c>
      <c r="R616" s="12" t="str">
        <f t="shared" si="117"/>
        <v>200v</v>
      </c>
      <c r="S616" s="8" t="str">
        <f t="shared" si="111"/>
        <v>680µF 200v - R25.0-50.0 Jamicon (SK)</v>
      </c>
      <c r="T616" s="8">
        <f t="shared" si="118"/>
        <v>1</v>
      </c>
      <c r="U616" s="8" t="b">
        <f>NOT(ISNA(MATCH($P616,Packages!$A:$A,0)))</f>
        <v>1</v>
      </c>
    </row>
    <row r="617" spans="1:21" hidden="1">
      <c r="A617" s="6" t="s">
        <v>47</v>
      </c>
      <c r="B617" s="6" t="s">
        <v>48</v>
      </c>
      <c r="C617" s="33">
        <v>0.47</v>
      </c>
      <c r="D617" s="34">
        <v>250</v>
      </c>
      <c r="E617" s="6" t="s">
        <v>69</v>
      </c>
      <c r="F617" s="6" t="s">
        <v>59</v>
      </c>
      <c r="G617" s="6"/>
      <c r="H617" s="7" t="s">
        <v>141</v>
      </c>
      <c r="I617" s="7"/>
      <c r="J617" s="7" t="str">
        <f t="shared" si="119"/>
        <v>JAMICON</v>
      </c>
      <c r="K617" s="7" t="str">
        <f t="shared" si="112"/>
        <v>0.47µF 250v</v>
      </c>
      <c r="L617" s="7" t="str">
        <f t="shared" si="120"/>
        <v>SK</v>
      </c>
      <c r="M617" s="31">
        <f t="shared" si="113"/>
        <v>6.3</v>
      </c>
      <c r="N617" s="31">
        <f t="shared" si="114"/>
        <v>11</v>
      </c>
      <c r="O617" s="8" t="str">
        <f t="shared" si="115"/>
        <v>Jamicon-SK</v>
      </c>
      <c r="P617" s="12" t="str">
        <f t="shared" si="110"/>
        <v>Jamicon R-06.0x11.0</v>
      </c>
      <c r="Q617" s="12" t="str">
        <f t="shared" si="116"/>
        <v>0.47µF</v>
      </c>
      <c r="R617" s="12" t="str">
        <f t="shared" si="117"/>
        <v>250v</v>
      </c>
      <c r="S617" s="8" t="str">
        <f t="shared" si="111"/>
        <v>0.47µF 250v - R06.3-11.0 Jamicon (SK)</v>
      </c>
      <c r="T617" s="8">
        <f t="shared" si="118"/>
        <v>1</v>
      </c>
      <c r="U617" s="8" t="b">
        <f>NOT(ISNA(MATCH($P617,Packages!$A:$A,0)))</f>
        <v>1</v>
      </c>
    </row>
    <row r="618" spans="1:21" hidden="1">
      <c r="A618" s="6" t="s">
        <v>47</v>
      </c>
      <c r="B618" s="6" t="s">
        <v>48</v>
      </c>
      <c r="C618" s="33">
        <v>1</v>
      </c>
      <c r="D618" s="34">
        <v>250</v>
      </c>
      <c r="E618" s="6" t="s">
        <v>69</v>
      </c>
      <c r="F618" s="6" t="s">
        <v>59</v>
      </c>
      <c r="G618" s="6"/>
      <c r="H618" s="7" t="s">
        <v>141</v>
      </c>
      <c r="I618" s="7"/>
      <c r="J618" s="7" t="str">
        <f t="shared" si="119"/>
        <v>JAMICON</v>
      </c>
      <c r="K618" s="7" t="str">
        <f t="shared" si="112"/>
        <v>1µF 250v</v>
      </c>
      <c r="L618" s="7" t="str">
        <f t="shared" si="120"/>
        <v>SK</v>
      </c>
      <c r="M618" s="31">
        <f t="shared" si="113"/>
        <v>6.3</v>
      </c>
      <c r="N618" s="31">
        <f t="shared" si="114"/>
        <v>11</v>
      </c>
      <c r="O618" s="8" t="str">
        <f t="shared" si="115"/>
        <v>Jamicon-SK</v>
      </c>
      <c r="P618" s="12" t="str">
        <f t="shared" si="110"/>
        <v>Jamicon R-06.0x11.0</v>
      </c>
      <c r="Q618" s="12" t="str">
        <f t="shared" si="116"/>
        <v>1µF</v>
      </c>
      <c r="R618" s="12" t="str">
        <f t="shared" si="117"/>
        <v>250v</v>
      </c>
      <c r="S618" s="8" t="str">
        <f t="shared" si="111"/>
        <v>1µF 250v - R06.3-11.0 Jamicon (SK)</v>
      </c>
      <c r="T618" s="8">
        <f t="shared" si="118"/>
        <v>1</v>
      </c>
      <c r="U618" s="8" t="b">
        <f>NOT(ISNA(MATCH($P618,Packages!$A:$A,0)))</f>
        <v>1</v>
      </c>
    </row>
    <row r="619" spans="1:21" hidden="1">
      <c r="A619" s="6" t="s">
        <v>47</v>
      </c>
      <c r="B619" s="6" t="s">
        <v>48</v>
      </c>
      <c r="C619" s="33">
        <v>2.2000000000000002</v>
      </c>
      <c r="D619" s="34">
        <v>250</v>
      </c>
      <c r="E619" s="6" t="s">
        <v>69</v>
      </c>
      <c r="F619" s="6" t="s">
        <v>59</v>
      </c>
      <c r="G619" s="6"/>
      <c r="H619" s="7" t="s">
        <v>141</v>
      </c>
      <c r="I619" s="7"/>
      <c r="J619" s="7" t="str">
        <f t="shared" si="119"/>
        <v>JAMICON</v>
      </c>
      <c r="K619" s="7" t="str">
        <f t="shared" si="112"/>
        <v>2.2µF 250v</v>
      </c>
      <c r="L619" s="7" t="str">
        <f t="shared" si="120"/>
        <v>SK</v>
      </c>
      <c r="M619" s="31">
        <f t="shared" si="113"/>
        <v>6.3</v>
      </c>
      <c r="N619" s="31">
        <f t="shared" si="114"/>
        <v>11</v>
      </c>
      <c r="O619" s="8" t="str">
        <f t="shared" si="115"/>
        <v>Jamicon-SK</v>
      </c>
      <c r="P619" s="12" t="str">
        <f t="shared" si="110"/>
        <v>Jamicon R-06.0x11.0</v>
      </c>
      <c r="Q619" s="12" t="str">
        <f t="shared" si="116"/>
        <v>2.2µF</v>
      </c>
      <c r="R619" s="12" t="str">
        <f t="shared" si="117"/>
        <v>250v</v>
      </c>
      <c r="S619" s="8" t="str">
        <f t="shared" si="111"/>
        <v>2.2µF 250v - R06.3-11.0 Jamicon (SK)</v>
      </c>
      <c r="T619" s="8">
        <f t="shared" si="118"/>
        <v>1</v>
      </c>
      <c r="U619" s="8" t="b">
        <f>NOT(ISNA(MATCH($P619,Packages!$A:$A,0)))</f>
        <v>1</v>
      </c>
    </row>
    <row r="620" spans="1:21" hidden="1">
      <c r="A620" s="6" t="s">
        <v>47</v>
      </c>
      <c r="B620" s="6" t="s">
        <v>48</v>
      </c>
      <c r="C620" s="33">
        <v>3.3</v>
      </c>
      <c r="D620" s="34">
        <v>250</v>
      </c>
      <c r="E620" s="6" t="s">
        <v>108</v>
      </c>
      <c r="F620" s="6" t="s">
        <v>59</v>
      </c>
      <c r="G620" s="6"/>
      <c r="H620" s="7" t="s">
        <v>141</v>
      </c>
      <c r="I620" s="7"/>
      <c r="J620" s="7" t="str">
        <f t="shared" si="119"/>
        <v>JAMICON</v>
      </c>
      <c r="K620" s="7" t="str">
        <f t="shared" si="112"/>
        <v>3.3µF 250v</v>
      </c>
      <c r="L620" s="7" t="str">
        <f t="shared" si="120"/>
        <v>SK</v>
      </c>
      <c r="M620" s="31">
        <f t="shared" si="113"/>
        <v>8</v>
      </c>
      <c r="N620" s="31">
        <f t="shared" si="114"/>
        <v>11.5</v>
      </c>
      <c r="O620" s="8" t="str">
        <f t="shared" si="115"/>
        <v>Jamicon-SK</v>
      </c>
      <c r="P620" s="12" t="str">
        <f t="shared" si="110"/>
        <v>Jamicon R-08.0x12.0</v>
      </c>
      <c r="Q620" s="12" t="str">
        <f t="shared" si="116"/>
        <v>3.3µF</v>
      </c>
      <c r="R620" s="12" t="str">
        <f t="shared" si="117"/>
        <v>250v</v>
      </c>
      <c r="S620" s="8" t="str">
        <f t="shared" si="111"/>
        <v>3.3µF 250v - R08.0-11.5 Jamicon (SK)</v>
      </c>
      <c r="T620" s="8">
        <f t="shared" si="118"/>
        <v>1</v>
      </c>
      <c r="U620" s="8" t="b">
        <f>NOT(ISNA(MATCH($P620,Packages!$A:$A,0)))</f>
        <v>1</v>
      </c>
    </row>
    <row r="621" spans="1:21" hidden="1">
      <c r="A621" s="6" t="s">
        <v>47</v>
      </c>
      <c r="B621" s="6" t="s">
        <v>48</v>
      </c>
      <c r="C621" s="33">
        <v>4.7</v>
      </c>
      <c r="D621" s="34">
        <v>250</v>
      </c>
      <c r="E621" s="6" t="s">
        <v>108</v>
      </c>
      <c r="F621" s="6" t="s">
        <v>59</v>
      </c>
      <c r="G621" s="6"/>
      <c r="H621" s="7" t="s">
        <v>141</v>
      </c>
      <c r="I621" s="7"/>
      <c r="J621" s="7" t="str">
        <f t="shared" si="119"/>
        <v>JAMICON</v>
      </c>
      <c r="K621" s="7" t="str">
        <f t="shared" si="112"/>
        <v>4.7µF 250v</v>
      </c>
      <c r="L621" s="7" t="str">
        <f t="shared" si="120"/>
        <v>SK</v>
      </c>
      <c r="M621" s="31">
        <f t="shared" si="113"/>
        <v>8</v>
      </c>
      <c r="N621" s="31">
        <f t="shared" si="114"/>
        <v>11.5</v>
      </c>
      <c r="O621" s="8" t="str">
        <f t="shared" si="115"/>
        <v>Jamicon-SK</v>
      </c>
      <c r="P621" s="12" t="str">
        <f t="shared" si="110"/>
        <v>Jamicon R-08.0x12.0</v>
      </c>
      <c r="Q621" s="12" t="str">
        <f t="shared" si="116"/>
        <v>4.7µF</v>
      </c>
      <c r="R621" s="12" t="str">
        <f t="shared" si="117"/>
        <v>250v</v>
      </c>
      <c r="S621" s="8" t="str">
        <f t="shared" si="111"/>
        <v>4.7µF 250v - R08.0-11.5 Jamicon (SK)</v>
      </c>
      <c r="T621" s="8">
        <f t="shared" si="118"/>
        <v>1</v>
      </c>
      <c r="U621" s="8" t="b">
        <f>NOT(ISNA(MATCH($P621,Packages!$A:$A,0)))</f>
        <v>1</v>
      </c>
    </row>
    <row r="622" spans="1:21" hidden="1">
      <c r="A622" s="6" t="s">
        <v>47</v>
      </c>
      <c r="B622" s="6" t="s">
        <v>48</v>
      </c>
      <c r="C622" s="33">
        <v>10</v>
      </c>
      <c r="D622" s="34">
        <v>250</v>
      </c>
      <c r="E622" s="6" t="s">
        <v>74</v>
      </c>
      <c r="F622" s="6" t="s">
        <v>59</v>
      </c>
      <c r="G622" s="6"/>
      <c r="H622" s="7" t="s">
        <v>141</v>
      </c>
      <c r="I622" s="7"/>
      <c r="J622" s="7" t="str">
        <f t="shared" si="119"/>
        <v>JAMICON</v>
      </c>
      <c r="K622" s="7" t="str">
        <f t="shared" si="112"/>
        <v>10µF 250v</v>
      </c>
      <c r="L622" s="7" t="str">
        <f t="shared" si="120"/>
        <v>SK</v>
      </c>
      <c r="M622" s="31">
        <f t="shared" si="113"/>
        <v>10</v>
      </c>
      <c r="N622" s="31">
        <f t="shared" si="114"/>
        <v>16</v>
      </c>
      <c r="O622" s="8" t="str">
        <f t="shared" si="115"/>
        <v>Jamicon-SK</v>
      </c>
      <c r="P622" s="12" t="str">
        <f t="shared" si="110"/>
        <v>Jamicon R-10.0x16.0</v>
      </c>
      <c r="Q622" s="12" t="str">
        <f t="shared" si="116"/>
        <v>10µF</v>
      </c>
      <c r="R622" s="12" t="str">
        <f t="shared" si="117"/>
        <v>250v</v>
      </c>
      <c r="S622" s="8" t="str">
        <f t="shared" si="111"/>
        <v>10µF 250v - R10.0-16.0 Jamicon (SK)</v>
      </c>
      <c r="T622" s="8">
        <f t="shared" si="118"/>
        <v>1</v>
      </c>
      <c r="U622" s="8" t="b">
        <f>NOT(ISNA(MATCH($P622,Packages!$A:$A,0)))</f>
        <v>1</v>
      </c>
    </row>
    <row r="623" spans="1:21" hidden="1">
      <c r="A623" s="6" t="s">
        <v>47</v>
      </c>
      <c r="B623" s="6" t="s">
        <v>48</v>
      </c>
      <c r="C623" s="33">
        <v>22</v>
      </c>
      <c r="D623" s="34">
        <v>250</v>
      </c>
      <c r="E623" s="6" t="s">
        <v>95</v>
      </c>
      <c r="F623" s="6" t="s">
        <v>59</v>
      </c>
      <c r="G623" s="6"/>
      <c r="H623" s="7" t="s">
        <v>141</v>
      </c>
      <c r="I623" s="7"/>
      <c r="J623" s="7" t="str">
        <f t="shared" si="119"/>
        <v>JAMICON</v>
      </c>
      <c r="K623" s="7" t="str">
        <f t="shared" si="112"/>
        <v>22µF 250v</v>
      </c>
      <c r="L623" s="7" t="str">
        <f t="shared" si="120"/>
        <v>SK</v>
      </c>
      <c r="M623" s="31">
        <f t="shared" si="113"/>
        <v>12.5</v>
      </c>
      <c r="N623" s="31">
        <f t="shared" si="114"/>
        <v>20</v>
      </c>
      <c r="O623" s="8" t="str">
        <f t="shared" si="115"/>
        <v>Jamicon-SK</v>
      </c>
      <c r="P623" s="12" t="str">
        <f t="shared" si="110"/>
        <v>Jamicon R-13.0x20.0</v>
      </c>
      <c r="Q623" s="12" t="str">
        <f t="shared" si="116"/>
        <v>22µF</v>
      </c>
      <c r="R623" s="12" t="str">
        <f t="shared" si="117"/>
        <v>250v</v>
      </c>
      <c r="S623" s="8" t="str">
        <f t="shared" si="111"/>
        <v>22µF 250v - R12.5-20.0 Jamicon (SK)</v>
      </c>
      <c r="T623" s="8">
        <f t="shared" si="118"/>
        <v>1</v>
      </c>
      <c r="U623" s="8" t="b">
        <f>NOT(ISNA(MATCH($P623,Packages!$A:$A,0)))</f>
        <v>1</v>
      </c>
    </row>
    <row r="624" spans="1:21" hidden="1">
      <c r="A624" s="6" t="s">
        <v>47</v>
      </c>
      <c r="B624" s="6" t="s">
        <v>48</v>
      </c>
      <c r="C624" s="33">
        <v>33</v>
      </c>
      <c r="D624" s="34">
        <v>250</v>
      </c>
      <c r="E624" s="6" t="s">
        <v>95</v>
      </c>
      <c r="F624" s="6" t="s">
        <v>59</v>
      </c>
      <c r="G624" s="6"/>
      <c r="H624" s="7" t="s">
        <v>141</v>
      </c>
      <c r="I624" s="7"/>
      <c r="J624" s="7" t="str">
        <f t="shared" si="119"/>
        <v>JAMICON</v>
      </c>
      <c r="K624" s="7" t="str">
        <f t="shared" si="112"/>
        <v>33µF 250v</v>
      </c>
      <c r="L624" s="7" t="str">
        <f t="shared" si="120"/>
        <v>SK</v>
      </c>
      <c r="M624" s="31">
        <f t="shared" si="113"/>
        <v>12.5</v>
      </c>
      <c r="N624" s="31">
        <f t="shared" si="114"/>
        <v>20</v>
      </c>
      <c r="O624" s="8" t="str">
        <f t="shared" si="115"/>
        <v>Jamicon-SK</v>
      </c>
      <c r="P624" s="12" t="str">
        <f t="shared" si="110"/>
        <v>Jamicon R-13.0x20.0</v>
      </c>
      <c r="Q624" s="12" t="str">
        <f t="shared" si="116"/>
        <v>33µF</v>
      </c>
      <c r="R624" s="12" t="str">
        <f t="shared" si="117"/>
        <v>250v</v>
      </c>
      <c r="S624" s="8" t="str">
        <f t="shared" si="111"/>
        <v>33µF 250v - R12.5-20.0 Jamicon (SK)</v>
      </c>
      <c r="T624" s="8">
        <f t="shared" si="118"/>
        <v>1</v>
      </c>
      <c r="U624" s="8" t="b">
        <f>NOT(ISNA(MATCH($P624,Packages!$A:$A,0)))</f>
        <v>1</v>
      </c>
    </row>
    <row r="625" spans="1:21" hidden="1">
      <c r="A625" s="6" t="s">
        <v>47</v>
      </c>
      <c r="B625" s="6" t="s">
        <v>48</v>
      </c>
      <c r="C625" s="33">
        <v>47</v>
      </c>
      <c r="D625" s="34">
        <v>250</v>
      </c>
      <c r="E625" s="6" t="s">
        <v>96</v>
      </c>
      <c r="F625" s="6" t="s">
        <v>59</v>
      </c>
      <c r="G625" s="6"/>
      <c r="H625" s="7" t="s">
        <v>141</v>
      </c>
      <c r="I625" s="7"/>
      <c r="J625" s="7" t="str">
        <f t="shared" si="119"/>
        <v>JAMICON</v>
      </c>
      <c r="K625" s="7" t="str">
        <f t="shared" si="112"/>
        <v>47µF 250v</v>
      </c>
      <c r="L625" s="7" t="str">
        <f t="shared" si="120"/>
        <v>SK</v>
      </c>
      <c r="M625" s="31">
        <f t="shared" si="113"/>
        <v>12.5</v>
      </c>
      <c r="N625" s="31">
        <f t="shared" si="114"/>
        <v>25</v>
      </c>
      <c r="O625" s="8" t="str">
        <f t="shared" si="115"/>
        <v>Jamicon-SK</v>
      </c>
      <c r="P625" s="12" t="str">
        <f t="shared" si="110"/>
        <v>Jamicon R-13.0x25.0</v>
      </c>
      <c r="Q625" s="12" t="str">
        <f t="shared" si="116"/>
        <v>47µF</v>
      </c>
      <c r="R625" s="12" t="str">
        <f t="shared" si="117"/>
        <v>250v</v>
      </c>
      <c r="S625" s="8" t="str">
        <f t="shared" si="111"/>
        <v>47µF 250v - R12.5-25.0 Jamicon (SK)</v>
      </c>
      <c r="T625" s="8">
        <f t="shared" si="118"/>
        <v>1</v>
      </c>
      <c r="U625" s="8" t="b">
        <f>NOT(ISNA(MATCH($P625,Packages!$A:$A,0)))</f>
        <v>1</v>
      </c>
    </row>
    <row r="626" spans="1:21" hidden="1">
      <c r="A626" s="6" t="s">
        <v>47</v>
      </c>
      <c r="B626" s="6" t="s">
        <v>48</v>
      </c>
      <c r="C626" s="33">
        <v>100</v>
      </c>
      <c r="D626" s="34">
        <v>250</v>
      </c>
      <c r="E626" s="6" t="s">
        <v>98</v>
      </c>
      <c r="F626" s="6" t="s">
        <v>59</v>
      </c>
      <c r="G626" s="6"/>
      <c r="H626" s="7" t="s">
        <v>141</v>
      </c>
      <c r="I626" s="7"/>
      <c r="J626" s="7" t="str">
        <f t="shared" si="119"/>
        <v>JAMICON</v>
      </c>
      <c r="K626" s="7" t="str">
        <f t="shared" si="112"/>
        <v>100µF 250v</v>
      </c>
      <c r="L626" s="7" t="str">
        <f t="shared" si="120"/>
        <v>SK</v>
      </c>
      <c r="M626" s="31">
        <f t="shared" si="113"/>
        <v>16</v>
      </c>
      <c r="N626" s="31">
        <f t="shared" si="114"/>
        <v>31.5</v>
      </c>
      <c r="O626" s="8" t="str">
        <f t="shared" si="115"/>
        <v>Jamicon-SK</v>
      </c>
      <c r="P626" s="12" t="str">
        <f t="shared" si="110"/>
        <v>Jamicon R-16.0x32.0</v>
      </c>
      <c r="Q626" s="12" t="str">
        <f t="shared" si="116"/>
        <v>100µF</v>
      </c>
      <c r="R626" s="12" t="str">
        <f t="shared" si="117"/>
        <v>250v</v>
      </c>
      <c r="S626" s="8" t="str">
        <f t="shared" si="111"/>
        <v>100µF 250v - R16.0-31.5 Jamicon (SK)</v>
      </c>
      <c r="T626" s="8">
        <f t="shared" si="118"/>
        <v>1</v>
      </c>
      <c r="U626" s="8" t="b">
        <f>NOT(ISNA(MATCH($P626,Packages!$A:$A,0)))</f>
        <v>1</v>
      </c>
    </row>
    <row r="627" spans="1:21" hidden="1">
      <c r="A627" s="6" t="s">
        <v>47</v>
      </c>
      <c r="B627" s="6" t="s">
        <v>48</v>
      </c>
      <c r="C627" s="33">
        <v>220</v>
      </c>
      <c r="D627" s="34">
        <v>250</v>
      </c>
      <c r="E627" s="6" t="s">
        <v>103</v>
      </c>
      <c r="F627" s="6" t="s">
        <v>59</v>
      </c>
      <c r="G627" s="6"/>
      <c r="H627" s="7" t="s">
        <v>141</v>
      </c>
      <c r="I627" s="7"/>
      <c r="J627" s="7" t="str">
        <f t="shared" si="119"/>
        <v>JAMICON</v>
      </c>
      <c r="K627" s="7" t="str">
        <f t="shared" si="112"/>
        <v>220µF 250v</v>
      </c>
      <c r="L627" s="7" t="str">
        <f t="shared" si="120"/>
        <v>SK</v>
      </c>
      <c r="M627" s="31">
        <f t="shared" si="113"/>
        <v>22</v>
      </c>
      <c r="N627" s="31">
        <f t="shared" si="114"/>
        <v>35</v>
      </c>
      <c r="O627" s="8" t="str">
        <f t="shared" si="115"/>
        <v>Jamicon-SK</v>
      </c>
      <c r="P627" s="12" t="str">
        <f t="shared" si="110"/>
        <v>Jamicon R-22.0x35.0</v>
      </c>
      <c r="Q627" s="12" t="str">
        <f t="shared" si="116"/>
        <v>220µF</v>
      </c>
      <c r="R627" s="12" t="str">
        <f t="shared" si="117"/>
        <v>250v</v>
      </c>
      <c r="S627" s="8" t="str">
        <f t="shared" si="111"/>
        <v>220µF 250v - R22.0-35.0 Jamicon (SK)</v>
      </c>
      <c r="T627" s="8">
        <f t="shared" si="118"/>
        <v>1</v>
      </c>
      <c r="U627" s="8" t="b">
        <f>NOT(ISNA(MATCH($P627,Packages!$A:$A,0)))</f>
        <v>1</v>
      </c>
    </row>
    <row r="628" spans="1:21" hidden="1">
      <c r="A628" s="6" t="s">
        <v>47</v>
      </c>
      <c r="B628" s="6" t="s">
        <v>48</v>
      </c>
      <c r="C628" s="33">
        <v>330</v>
      </c>
      <c r="D628" s="34">
        <v>250</v>
      </c>
      <c r="E628" s="6" t="s">
        <v>105</v>
      </c>
      <c r="F628" s="6" t="s">
        <v>59</v>
      </c>
      <c r="G628" s="6"/>
      <c r="H628" s="7" t="s">
        <v>141</v>
      </c>
      <c r="I628" s="7"/>
      <c r="J628" s="7" t="str">
        <f t="shared" si="119"/>
        <v>JAMICON</v>
      </c>
      <c r="K628" s="7" t="str">
        <f t="shared" si="112"/>
        <v>330µF 250v</v>
      </c>
      <c r="L628" s="7" t="str">
        <f t="shared" si="120"/>
        <v>SK</v>
      </c>
      <c r="M628" s="31">
        <f t="shared" si="113"/>
        <v>22</v>
      </c>
      <c r="N628" s="31">
        <f t="shared" si="114"/>
        <v>45</v>
      </c>
      <c r="O628" s="8" t="str">
        <f t="shared" si="115"/>
        <v>Jamicon-SK</v>
      </c>
      <c r="P628" s="12" t="str">
        <f t="shared" si="110"/>
        <v>Jamicon R-22.0x45.0</v>
      </c>
      <c r="Q628" s="12" t="str">
        <f t="shared" si="116"/>
        <v>330µF</v>
      </c>
      <c r="R628" s="12" t="str">
        <f t="shared" si="117"/>
        <v>250v</v>
      </c>
      <c r="S628" s="8" t="str">
        <f t="shared" si="111"/>
        <v>330µF 250v - R22.0-45.0 Jamicon (SK)</v>
      </c>
      <c r="T628" s="8">
        <f t="shared" si="118"/>
        <v>1</v>
      </c>
      <c r="U628" s="8" t="b">
        <f>NOT(ISNA(MATCH($P628,Packages!$A:$A,0)))</f>
        <v>1</v>
      </c>
    </row>
    <row r="629" spans="1:21" hidden="1">
      <c r="A629" s="6" t="s">
        <v>47</v>
      </c>
      <c r="B629" s="6" t="s">
        <v>48</v>
      </c>
      <c r="C629" s="33">
        <v>470</v>
      </c>
      <c r="D629" s="34">
        <v>250</v>
      </c>
      <c r="E629" s="6" t="s">
        <v>107</v>
      </c>
      <c r="F629" s="6" t="s">
        <v>59</v>
      </c>
      <c r="G629" s="6"/>
      <c r="H629" s="7" t="s">
        <v>141</v>
      </c>
      <c r="I629" s="7"/>
      <c r="J629" s="7" t="str">
        <f t="shared" si="119"/>
        <v>JAMICON</v>
      </c>
      <c r="K629" s="7" t="str">
        <f t="shared" si="112"/>
        <v>470µF 250v</v>
      </c>
      <c r="L629" s="7" t="str">
        <f t="shared" si="120"/>
        <v>SK</v>
      </c>
      <c r="M629" s="31">
        <f t="shared" si="113"/>
        <v>25</v>
      </c>
      <c r="N629" s="31">
        <f t="shared" si="114"/>
        <v>45</v>
      </c>
      <c r="O629" s="8" t="str">
        <f t="shared" si="115"/>
        <v>Jamicon-SK</v>
      </c>
      <c r="P629" s="12" t="str">
        <f t="shared" si="110"/>
        <v>Jamicon R-25.0x45.0</v>
      </c>
      <c r="Q629" s="12" t="str">
        <f t="shared" si="116"/>
        <v>470µF</v>
      </c>
      <c r="R629" s="12" t="str">
        <f t="shared" si="117"/>
        <v>250v</v>
      </c>
      <c r="S629" s="8" t="str">
        <f t="shared" si="111"/>
        <v>470µF 250v - R25.0-45.0 Jamicon (SK)</v>
      </c>
      <c r="T629" s="8">
        <f t="shared" si="118"/>
        <v>1</v>
      </c>
      <c r="U629" s="8" t="b">
        <f>NOT(ISNA(MATCH($P629,Packages!$A:$A,0)))</f>
        <v>1</v>
      </c>
    </row>
    <row r="630" spans="1:21" hidden="1">
      <c r="A630" s="6" t="s">
        <v>47</v>
      </c>
      <c r="B630" s="6" t="s">
        <v>48</v>
      </c>
      <c r="C630" s="33">
        <v>560</v>
      </c>
      <c r="D630" s="34">
        <v>250</v>
      </c>
      <c r="E630" s="6" t="s">
        <v>86</v>
      </c>
      <c r="F630" s="6" t="s">
        <v>59</v>
      </c>
      <c r="G630" s="6"/>
      <c r="H630" s="7" t="s">
        <v>141</v>
      </c>
      <c r="I630" s="7"/>
      <c r="J630" s="7" t="str">
        <f t="shared" si="119"/>
        <v>JAMICON</v>
      </c>
      <c r="K630" s="7" t="str">
        <f t="shared" si="112"/>
        <v>560µF 250v</v>
      </c>
      <c r="L630" s="7" t="str">
        <f t="shared" si="120"/>
        <v>SK</v>
      </c>
      <c r="M630" s="31">
        <f t="shared" si="113"/>
        <v>25</v>
      </c>
      <c r="N630" s="31">
        <f t="shared" si="114"/>
        <v>50</v>
      </c>
      <c r="O630" s="8" t="str">
        <f t="shared" si="115"/>
        <v>Jamicon-SK</v>
      </c>
      <c r="P630" s="12" t="str">
        <f t="shared" si="110"/>
        <v>Jamicon R-25.0x50.0</v>
      </c>
      <c r="Q630" s="12" t="str">
        <f t="shared" si="116"/>
        <v>560µF</v>
      </c>
      <c r="R630" s="12" t="str">
        <f t="shared" si="117"/>
        <v>250v</v>
      </c>
      <c r="S630" s="8" t="str">
        <f t="shared" si="111"/>
        <v>560µF 250v - R25.0-50.0 Jamicon (SK)</v>
      </c>
      <c r="T630" s="8">
        <f t="shared" si="118"/>
        <v>1</v>
      </c>
      <c r="U630" s="8" t="b">
        <f>NOT(ISNA(MATCH($P630,Packages!$A:$A,0)))</f>
        <v>1</v>
      </c>
    </row>
    <row r="631" spans="1:21" hidden="1">
      <c r="A631" s="6" t="s">
        <v>47</v>
      </c>
      <c r="B631" s="6" t="s">
        <v>48</v>
      </c>
      <c r="C631" s="33">
        <v>0.47</v>
      </c>
      <c r="D631" s="34">
        <v>350</v>
      </c>
      <c r="E631" s="6" t="s">
        <v>108</v>
      </c>
      <c r="F631" s="6" t="s">
        <v>59</v>
      </c>
      <c r="G631" s="6"/>
      <c r="H631" s="7" t="s">
        <v>141</v>
      </c>
      <c r="I631" s="7"/>
      <c r="J631" s="7" t="str">
        <f t="shared" si="119"/>
        <v>JAMICON</v>
      </c>
      <c r="K631" s="7" t="str">
        <f t="shared" si="112"/>
        <v>0.47µF 350v</v>
      </c>
      <c r="L631" s="7" t="str">
        <f t="shared" si="120"/>
        <v>SK</v>
      </c>
      <c r="M631" s="31">
        <f t="shared" si="113"/>
        <v>8</v>
      </c>
      <c r="N631" s="31">
        <f t="shared" si="114"/>
        <v>11.5</v>
      </c>
      <c r="O631" s="8" t="str">
        <f t="shared" si="115"/>
        <v>Jamicon-SK</v>
      </c>
      <c r="P631" s="12" t="str">
        <f t="shared" si="110"/>
        <v>Jamicon R-08.0x12.0</v>
      </c>
      <c r="Q631" s="12" t="str">
        <f t="shared" si="116"/>
        <v>0.47µF</v>
      </c>
      <c r="R631" s="12" t="str">
        <f t="shared" si="117"/>
        <v>350v</v>
      </c>
      <c r="S631" s="8" t="str">
        <f t="shared" si="111"/>
        <v>0.47µF 350v - R08.0-11.5 Jamicon (SK)</v>
      </c>
      <c r="T631" s="8">
        <f t="shared" si="118"/>
        <v>1</v>
      </c>
      <c r="U631" s="8" t="b">
        <f>NOT(ISNA(MATCH($P631,Packages!$A:$A,0)))</f>
        <v>1</v>
      </c>
    </row>
    <row r="632" spans="1:21" hidden="1">
      <c r="A632" s="6" t="s">
        <v>47</v>
      </c>
      <c r="B632" s="6" t="s">
        <v>48</v>
      </c>
      <c r="C632" s="33">
        <v>1</v>
      </c>
      <c r="D632" s="34">
        <v>350</v>
      </c>
      <c r="E632" s="6" t="s">
        <v>108</v>
      </c>
      <c r="F632" s="6" t="s">
        <v>59</v>
      </c>
      <c r="G632" s="6"/>
      <c r="H632" s="7" t="s">
        <v>141</v>
      </c>
      <c r="I632" s="7"/>
      <c r="J632" s="7" t="str">
        <f t="shared" si="119"/>
        <v>JAMICON</v>
      </c>
      <c r="K632" s="7" t="str">
        <f t="shared" si="112"/>
        <v>1µF 350v</v>
      </c>
      <c r="L632" s="7" t="str">
        <f t="shared" si="120"/>
        <v>SK</v>
      </c>
      <c r="M632" s="31">
        <f t="shared" si="113"/>
        <v>8</v>
      </c>
      <c r="N632" s="31">
        <f t="shared" si="114"/>
        <v>11.5</v>
      </c>
      <c r="O632" s="8" t="str">
        <f t="shared" si="115"/>
        <v>Jamicon-SK</v>
      </c>
      <c r="P632" s="12" t="str">
        <f t="shared" si="110"/>
        <v>Jamicon R-08.0x12.0</v>
      </c>
      <c r="Q632" s="12" t="str">
        <f t="shared" si="116"/>
        <v>1µF</v>
      </c>
      <c r="R632" s="12" t="str">
        <f t="shared" si="117"/>
        <v>350v</v>
      </c>
      <c r="S632" s="8" t="str">
        <f t="shared" si="111"/>
        <v>1µF 350v - R08.0-11.5 Jamicon (SK)</v>
      </c>
      <c r="T632" s="8">
        <f t="shared" si="118"/>
        <v>1</v>
      </c>
      <c r="U632" s="8" t="b">
        <f>NOT(ISNA(MATCH($P632,Packages!$A:$A,0)))</f>
        <v>1</v>
      </c>
    </row>
    <row r="633" spans="1:21" hidden="1">
      <c r="A633" s="6" t="s">
        <v>47</v>
      </c>
      <c r="B633" s="6" t="s">
        <v>48</v>
      </c>
      <c r="C633" s="33">
        <v>2.2000000000000002</v>
      </c>
      <c r="D633" s="34">
        <v>350</v>
      </c>
      <c r="E633" s="6" t="s">
        <v>108</v>
      </c>
      <c r="F633" s="6" t="s">
        <v>59</v>
      </c>
      <c r="G633" s="6"/>
      <c r="H633" s="7" t="s">
        <v>141</v>
      </c>
      <c r="I633" s="7"/>
      <c r="J633" s="7" t="str">
        <f t="shared" si="119"/>
        <v>JAMICON</v>
      </c>
      <c r="K633" s="7" t="str">
        <f t="shared" si="112"/>
        <v>2.2µF 350v</v>
      </c>
      <c r="L633" s="7" t="str">
        <f t="shared" si="120"/>
        <v>SK</v>
      </c>
      <c r="M633" s="31">
        <f t="shared" si="113"/>
        <v>8</v>
      </c>
      <c r="N633" s="31">
        <f t="shared" si="114"/>
        <v>11.5</v>
      </c>
      <c r="O633" s="8" t="str">
        <f t="shared" si="115"/>
        <v>Jamicon-SK</v>
      </c>
      <c r="P633" s="12" t="str">
        <f t="shared" si="110"/>
        <v>Jamicon R-08.0x12.0</v>
      </c>
      <c r="Q633" s="12" t="str">
        <f t="shared" si="116"/>
        <v>2.2µF</v>
      </c>
      <c r="R633" s="12" t="str">
        <f t="shared" si="117"/>
        <v>350v</v>
      </c>
      <c r="S633" s="8" t="str">
        <f t="shared" si="111"/>
        <v>2.2µF 350v - R08.0-11.5 Jamicon (SK)</v>
      </c>
      <c r="T633" s="8">
        <f t="shared" si="118"/>
        <v>1</v>
      </c>
      <c r="U633" s="8" t="b">
        <f>NOT(ISNA(MATCH($P633,Packages!$A:$A,0)))</f>
        <v>1</v>
      </c>
    </row>
    <row r="634" spans="1:21" hidden="1">
      <c r="A634" s="6" t="s">
        <v>47</v>
      </c>
      <c r="B634" s="6" t="s">
        <v>48</v>
      </c>
      <c r="C634" s="33">
        <v>3.3</v>
      </c>
      <c r="D634" s="34">
        <v>350</v>
      </c>
      <c r="E634" s="6" t="s">
        <v>92</v>
      </c>
      <c r="F634" s="6" t="s">
        <v>59</v>
      </c>
      <c r="G634" s="6"/>
      <c r="H634" s="7" t="s">
        <v>141</v>
      </c>
      <c r="I634" s="7"/>
      <c r="J634" s="7" t="str">
        <f t="shared" si="119"/>
        <v>JAMICON</v>
      </c>
      <c r="K634" s="7" t="str">
        <f t="shared" si="112"/>
        <v>3.3µF 350v</v>
      </c>
      <c r="L634" s="7" t="str">
        <f t="shared" si="120"/>
        <v>SK</v>
      </c>
      <c r="M634" s="31">
        <f t="shared" si="113"/>
        <v>10</v>
      </c>
      <c r="N634" s="31">
        <f t="shared" si="114"/>
        <v>12.5</v>
      </c>
      <c r="O634" s="8" t="str">
        <f t="shared" si="115"/>
        <v>Jamicon-SK</v>
      </c>
      <c r="P634" s="12" t="str">
        <f t="shared" si="110"/>
        <v>Jamicon R-10.0x13.0</v>
      </c>
      <c r="Q634" s="12" t="str">
        <f t="shared" si="116"/>
        <v>3.3µF</v>
      </c>
      <c r="R634" s="12" t="str">
        <f t="shared" si="117"/>
        <v>350v</v>
      </c>
      <c r="S634" s="8" t="str">
        <f t="shared" si="111"/>
        <v>3.3µF 350v - R10.0-12.5 Jamicon (SK)</v>
      </c>
      <c r="T634" s="8">
        <f t="shared" si="118"/>
        <v>1</v>
      </c>
      <c r="U634" s="8" t="b">
        <f>NOT(ISNA(MATCH($P634,Packages!$A:$A,0)))</f>
        <v>1</v>
      </c>
    </row>
    <row r="635" spans="1:21" hidden="1">
      <c r="A635" s="6" t="s">
        <v>47</v>
      </c>
      <c r="B635" s="6" t="s">
        <v>48</v>
      </c>
      <c r="C635" s="33">
        <v>4.7</v>
      </c>
      <c r="D635" s="34">
        <v>350</v>
      </c>
      <c r="E635" s="6" t="s">
        <v>92</v>
      </c>
      <c r="F635" s="6" t="s">
        <v>59</v>
      </c>
      <c r="G635" s="6"/>
      <c r="H635" s="7" t="s">
        <v>141</v>
      </c>
      <c r="I635" s="7"/>
      <c r="J635" s="7" t="str">
        <f t="shared" si="119"/>
        <v>JAMICON</v>
      </c>
      <c r="K635" s="7" t="str">
        <f t="shared" si="112"/>
        <v>4.7µF 350v</v>
      </c>
      <c r="L635" s="7" t="str">
        <f t="shared" si="120"/>
        <v>SK</v>
      </c>
      <c r="M635" s="31">
        <f t="shared" si="113"/>
        <v>10</v>
      </c>
      <c r="N635" s="31">
        <f t="shared" si="114"/>
        <v>12.5</v>
      </c>
      <c r="O635" s="8" t="str">
        <f t="shared" si="115"/>
        <v>Jamicon-SK</v>
      </c>
      <c r="P635" s="12" t="str">
        <f t="shared" si="110"/>
        <v>Jamicon R-10.0x13.0</v>
      </c>
      <c r="Q635" s="12" t="str">
        <f t="shared" si="116"/>
        <v>4.7µF</v>
      </c>
      <c r="R635" s="12" t="str">
        <f t="shared" si="117"/>
        <v>350v</v>
      </c>
      <c r="S635" s="8" t="str">
        <f t="shared" si="111"/>
        <v>4.7µF 350v - R10.0-12.5 Jamicon (SK)</v>
      </c>
      <c r="T635" s="8">
        <f t="shared" si="118"/>
        <v>1</v>
      </c>
      <c r="U635" s="8" t="b">
        <f>NOT(ISNA(MATCH($P635,Packages!$A:$A,0)))</f>
        <v>1</v>
      </c>
    </row>
    <row r="636" spans="1:21" hidden="1">
      <c r="A636" s="6" t="s">
        <v>47</v>
      </c>
      <c r="B636" s="6" t="s">
        <v>48</v>
      </c>
      <c r="C636" s="33">
        <v>10</v>
      </c>
      <c r="D636" s="34">
        <v>350</v>
      </c>
      <c r="E636" s="6" t="s">
        <v>94</v>
      </c>
      <c r="F636" s="6" t="s">
        <v>59</v>
      </c>
      <c r="G636" s="6"/>
      <c r="H636" s="7" t="s">
        <v>141</v>
      </c>
      <c r="I636" s="7"/>
      <c r="J636" s="7" t="str">
        <f t="shared" si="119"/>
        <v>JAMICON</v>
      </c>
      <c r="K636" s="7" t="str">
        <f t="shared" si="112"/>
        <v>10µF 350v</v>
      </c>
      <c r="L636" s="7" t="str">
        <f t="shared" si="120"/>
        <v>SK</v>
      </c>
      <c r="M636" s="31">
        <f t="shared" si="113"/>
        <v>10</v>
      </c>
      <c r="N636" s="31">
        <f t="shared" si="114"/>
        <v>20</v>
      </c>
      <c r="O636" s="8" t="str">
        <f t="shared" si="115"/>
        <v>Jamicon-SK</v>
      </c>
      <c r="P636" s="12" t="str">
        <f t="shared" si="110"/>
        <v>Jamicon R-10.0x20.0</v>
      </c>
      <c r="Q636" s="12" t="str">
        <f t="shared" si="116"/>
        <v>10µF</v>
      </c>
      <c r="R636" s="12" t="str">
        <f t="shared" si="117"/>
        <v>350v</v>
      </c>
      <c r="S636" s="8" t="str">
        <f t="shared" si="111"/>
        <v>10µF 350v - R10.0-20.0 Jamicon (SK)</v>
      </c>
      <c r="T636" s="8">
        <f t="shared" si="118"/>
        <v>1</v>
      </c>
      <c r="U636" s="8" t="b">
        <f>NOT(ISNA(MATCH($P636,Packages!$A:$A,0)))</f>
        <v>1</v>
      </c>
    </row>
    <row r="637" spans="1:21" hidden="1">
      <c r="A637" s="6" t="s">
        <v>47</v>
      </c>
      <c r="B637" s="6" t="s">
        <v>48</v>
      </c>
      <c r="C637" s="33">
        <v>22</v>
      </c>
      <c r="D637" s="34">
        <v>350</v>
      </c>
      <c r="E637" s="6" t="s">
        <v>95</v>
      </c>
      <c r="F637" s="6" t="s">
        <v>59</v>
      </c>
      <c r="G637" s="6"/>
      <c r="H637" s="7" t="s">
        <v>141</v>
      </c>
      <c r="I637" s="7"/>
      <c r="J637" s="7" t="str">
        <f t="shared" si="119"/>
        <v>JAMICON</v>
      </c>
      <c r="K637" s="7" t="str">
        <f t="shared" si="112"/>
        <v>22µF 350v</v>
      </c>
      <c r="L637" s="7" t="str">
        <f t="shared" si="120"/>
        <v>SK</v>
      </c>
      <c r="M637" s="31">
        <f t="shared" si="113"/>
        <v>12.5</v>
      </c>
      <c r="N637" s="31">
        <f t="shared" si="114"/>
        <v>20</v>
      </c>
      <c r="O637" s="8" t="str">
        <f t="shared" si="115"/>
        <v>Jamicon-SK</v>
      </c>
      <c r="P637" s="12" t="str">
        <f t="shared" si="110"/>
        <v>Jamicon R-13.0x20.0</v>
      </c>
      <c r="Q637" s="12" t="str">
        <f t="shared" si="116"/>
        <v>22µF</v>
      </c>
      <c r="R637" s="12" t="str">
        <f t="shared" si="117"/>
        <v>350v</v>
      </c>
      <c r="S637" s="8" t="str">
        <f t="shared" si="111"/>
        <v>22µF 350v - R12.5-20.0 Jamicon (SK)</v>
      </c>
      <c r="T637" s="8">
        <f t="shared" si="118"/>
        <v>1</v>
      </c>
      <c r="U637" s="8" t="b">
        <f>NOT(ISNA(MATCH($P637,Packages!$A:$A,0)))</f>
        <v>1</v>
      </c>
    </row>
    <row r="638" spans="1:21" hidden="1">
      <c r="A638" s="6" t="s">
        <v>47</v>
      </c>
      <c r="B638" s="6" t="s">
        <v>48</v>
      </c>
      <c r="C638" s="33">
        <v>33</v>
      </c>
      <c r="D638" s="34">
        <v>350</v>
      </c>
      <c r="E638" s="6" t="s">
        <v>96</v>
      </c>
      <c r="F638" s="6" t="s">
        <v>59</v>
      </c>
      <c r="G638" s="6"/>
      <c r="H638" s="7" t="s">
        <v>141</v>
      </c>
      <c r="I638" s="7"/>
      <c r="J638" s="7" t="str">
        <f t="shared" si="119"/>
        <v>JAMICON</v>
      </c>
      <c r="K638" s="7" t="str">
        <f t="shared" si="112"/>
        <v>33µF 350v</v>
      </c>
      <c r="L638" s="7" t="str">
        <f t="shared" si="120"/>
        <v>SK</v>
      </c>
      <c r="M638" s="31">
        <f t="shared" si="113"/>
        <v>12.5</v>
      </c>
      <c r="N638" s="31">
        <f t="shared" si="114"/>
        <v>25</v>
      </c>
      <c r="O638" s="8" t="str">
        <f t="shared" si="115"/>
        <v>Jamicon-SK</v>
      </c>
      <c r="P638" s="12" t="str">
        <f t="shared" si="110"/>
        <v>Jamicon R-13.0x25.0</v>
      </c>
      <c r="Q638" s="12" t="str">
        <f t="shared" si="116"/>
        <v>33µF</v>
      </c>
      <c r="R638" s="12" t="str">
        <f t="shared" si="117"/>
        <v>350v</v>
      </c>
      <c r="S638" s="8" t="str">
        <f t="shared" si="111"/>
        <v>33µF 350v - R12.5-25.0 Jamicon (SK)</v>
      </c>
      <c r="T638" s="8">
        <f t="shared" si="118"/>
        <v>1</v>
      </c>
      <c r="U638" s="8" t="b">
        <f>NOT(ISNA(MATCH($P638,Packages!$A:$A,0)))</f>
        <v>1</v>
      </c>
    </row>
    <row r="639" spans="1:21" hidden="1">
      <c r="A639" s="6" t="s">
        <v>47</v>
      </c>
      <c r="B639" s="6" t="s">
        <v>48</v>
      </c>
      <c r="C639" s="33">
        <v>47</v>
      </c>
      <c r="D639" s="34">
        <v>350</v>
      </c>
      <c r="E639" s="6" t="s">
        <v>97</v>
      </c>
      <c r="F639" s="6" t="s">
        <v>59</v>
      </c>
      <c r="G639" s="6"/>
      <c r="H639" s="7" t="s">
        <v>141</v>
      </c>
      <c r="I639" s="7"/>
      <c r="J639" s="7" t="str">
        <f t="shared" si="119"/>
        <v>JAMICON</v>
      </c>
      <c r="K639" s="7" t="str">
        <f t="shared" si="112"/>
        <v>47µF 350v</v>
      </c>
      <c r="L639" s="7" t="str">
        <f t="shared" si="120"/>
        <v>SK</v>
      </c>
      <c r="M639" s="31">
        <f t="shared" si="113"/>
        <v>16</v>
      </c>
      <c r="N639" s="31">
        <f t="shared" si="114"/>
        <v>25</v>
      </c>
      <c r="O639" s="8" t="str">
        <f t="shared" si="115"/>
        <v>Jamicon-SK</v>
      </c>
      <c r="P639" s="12" t="str">
        <f t="shared" si="110"/>
        <v>Jamicon R-16.0x25.0</v>
      </c>
      <c r="Q639" s="12" t="str">
        <f t="shared" si="116"/>
        <v>47µF</v>
      </c>
      <c r="R639" s="12" t="str">
        <f t="shared" si="117"/>
        <v>350v</v>
      </c>
      <c r="S639" s="8" t="str">
        <f t="shared" si="111"/>
        <v>47µF 350v - R16.0-25.0 Jamicon (SK)</v>
      </c>
      <c r="T639" s="8">
        <f t="shared" si="118"/>
        <v>1</v>
      </c>
      <c r="U639" s="8" t="b">
        <f>NOT(ISNA(MATCH($P639,Packages!$A:$A,0)))</f>
        <v>1</v>
      </c>
    </row>
    <row r="640" spans="1:21" hidden="1">
      <c r="A640" s="6" t="s">
        <v>47</v>
      </c>
      <c r="B640" s="6" t="s">
        <v>48</v>
      </c>
      <c r="C640" s="33">
        <v>100</v>
      </c>
      <c r="D640" s="34">
        <v>350</v>
      </c>
      <c r="E640" s="6" t="s">
        <v>100</v>
      </c>
      <c r="F640" s="6" t="s">
        <v>59</v>
      </c>
      <c r="G640" s="6"/>
      <c r="H640" s="7" t="s">
        <v>141</v>
      </c>
      <c r="I640" s="7"/>
      <c r="J640" s="7" t="str">
        <f t="shared" si="119"/>
        <v>JAMICON</v>
      </c>
      <c r="K640" s="7" t="str">
        <f t="shared" si="112"/>
        <v>100µF 350v</v>
      </c>
      <c r="L640" s="7" t="str">
        <f t="shared" si="120"/>
        <v>SK</v>
      </c>
      <c r="M640" s="31">
        <f t="shared" si="113"/>
        <v>18</v>
      </c>
      <c r="N640" s="31">
        <f t="shared" si="114"/>
        <v>35.5</v>
      </c>
      <c r="O640" s="8" t="str">
        <f t="shared" si="115"/>
        <v>Jamicon-SK</v>
      </c>
      <c r="P640" s="12" t="str">
        <f t="shared" si="110"/>
        <v>Jamicon R-18.0x36.0</v>
      </c>
      <c r="Q640" s="12" t="str">
        <f t="shared" si="116"/>
        <v>100µF</v>
      </c>
      <c r="R640" s="12" t="str">
        <f t="shared" si="117"/>
        <v>350v</v>
      </c>
      <c r="S640" s="8" t="str">
        <f t="shared" si="111"/>
        <v>100µF 350v - R18.0-35.5 Jamicon (SK)</v>
      </c>
      <c r="T640" s="8">
        <f t="shared" si="118"/>
        <v>1</v>
      </c>
      <c r="U640" s="8" t="b">
        <f>NOT(ISNA(MATCH($P640,Packages!$A:$A,0)))</f>
        <v>1</v>
      </c>
    </row>
    <row r="641" spans="1:21" hidden="1">
      <c r="A641" s="6" t="s">
        <v>47</v>
      </c>
      <c r="B641" s="6" t="s">
        <v>48</v>
      </c>
      <c r="C641" s="33">
        <v>100</v>
      </c>
      <c r="D641" s="34">
        <v>350</v>
      </c>
      <c r="E641" s="6" t="s">
        <v>103</v>
      </c>
      <c r="F641" s="6" t="s">
        <v>59</v>
      </c>
      <c r="G641" s="6"/>
      <c r="H641" s="7" t="s">
        <v>141</v>
      </c>
      <c r="I641" s="7"/>
      <c r="J641" s="7" t="str">
        <f t="shared" si="119"/>
        <v>JAMICON</v>
      </c>
      <c r="K641" s="7" t="str">
        <f t="shared" si="112"/>
        <v>100µF 350v</v>
      </c>
      <c r="L641" s="7" t="str">
        <f t="shared" si="120"/>
        <v>SK</v>
      </c>
      <c r="M641" s="31">
        <f t="shared" si="113"/>
        <v>22</v>
      </c>
      <c r="N641" s="31">
        <f t="shared" si="114"/>
        <v>35</v>
      </c>
      <c r="O641" s="8" t="str">
        <f t="shared" si="115"/>
        <v>Jamicon-SK</v>
      </c>
      <c r="P641" s="12" t="str">
        <f t="shared" si="110"/>
        <v>Jamicon R-22.0x35.0</v>
      </c>
      <c r="Q641" s="12" t="str">
        <f t="shared" si="116"/>
        <v>100µF</v>
      </c>
      <c r="R641" s="12" t="str">
        <f t="shared" si="117"/>
        <v>350v</v>
      </c>
      <c r="S641" s="8" t="str">
        <f t="shared" si="111"/>
        <v>100µF 350v - R22.0-35.0 Jamicon (SK)</v>
      </c>
      <c r="T641" s="8">
        <f t="shared" si="118"/>
        <v>1</v>
      </c>
      <c r="U641" s="8" t="b">
        <f>NOT(ISNA(MATCH($P641,Packages!$A:$A,0)))</f>
        <v>1</v>
      </c>
    </row>
    <row r="642" spans="1:21" hidden="1">
      <c r="A642" s="6" t="s">
        <v>47</v>
      </c>
      <c r="B642" s="6" t="s">
        <v>48</v>
      </c>
      <c r="C642" s="33">
        <v>150</v>
      </c>
      <c r="D642" s="34">
        <v>350</v>
      </c>
      <c r="E642" s="6" t="s">
        <v>104</v>
      </c>
      <c r="F642" s="6" t="s">
        <v>59</v>
      </c>
      <c r="G642" s="6"/>
      <c r="H642" s="7" t="s">
        <v>141</v>
      </c>
      <c r="I642" s="7"/>
      <c r="J642" s="7" t="str">
        <f t="shared" si="119"/>
        <v>JAMICON</v>
      </c>
      <c r="K642" s="7" t="str">
        <f t="shared" si="112"/>
        <v>150µF 350v</v>
      </c>
      <c r="L642" s="7" t="str">
        <f t="shared" si="120"/>
        <v>SK</v>
      </c>
      <c r="M642" s="31">
        <f t="shared" si="113"/>
        <v>22</v>
      </c>
      <c r="N642" s="31">
        <f t="shared" si="114"/>
        <v>40</v>
      </c>
      <c r="O642" s="8" t="str">
        <f t="shared" si="115"/>
        <v>Jamicon-SK</v>
      </c>
      <c r="P642" s="12" t="str">
        <f t="shared" ref="P642:P705" si="121">$A642&amp;" "&amp;LEFT($F642,1)&amp;"-"&amp;TEXT(ROUND($M642,0),"00.0")&amp;"x"&amp;TEXT(ROUND($N642,0),"00.0")</f>
        <v>Jamicon R-22.0x40.0</v>
      </c>
      <c r="Q642" s="12" t="str">
        <f t="shared" si="116"/>
        <v>150µF</v>
      </c>
      <c r="R642" s="12" t="str">
        <f t="shared" si="117"/>
        <v>350v</v>
      </c>
      <c r="S642" s="8" t="str">
        <f t="shared" ref="S642:S705" si="122">$Q642&amp;" "&amp;$R642&amp;" - "&amp;LEFT($F642,1)&amp;TEXT($M642,"00.0")&amp;"-"&amp;TEXT($N642,"00.0")&amp;" "&amp;A642&amp;" ("&amp;B642&amp;")"&amp;IF(ISBLANK($G642),""," "&amp;$G642)</f>
        <v>150µF 350v - R22.0-40.0 Jamicon (SK)</v>
      </c>
      <c r="T642" s="8">
        <f t="shared" si="118"/>
        <v>1</v>
      </c>
      <c r="U642" s="8" t="b">
        <f>NOT(ISNA(MATCH($P642,Packages!$A:$A,0)))</f>
        <v>1</v>
      </c>
    </row>
    <row r="643" spans="1:21" hidden="1">
      <c r="A643" s="6" t="s">
        <v>47</v>
      </c>
      <c r="B643" s="6" t="s">
        <v>48</v>
      </c>
      <c r="C643" s="33">
        <v>220</v>
      </c>
      <c r="D643" s="34">
        <v>350</v>
      </c>
      <c r="E643" s="6" t="s">
        <v>106</v>
      </c>
      <c r="F643" s="6" t="s">
        <v>59</v>
      </c>
      <c r="G643" s="6"/>
      <c r="H643" s="7" t="s">
        <v>141</v>
      </c>
      <c r="I643" s="7"/>
      <c r="J643" s="7" t="str">
        <f t="shared" si="119"/>
        <v>JAMICON</v>
      </c>
      <c r="K643" s="7" t="str">
        <f t="shared" ref="J643:K668" si="123">$Q643&amp;" "&amp;$R643</f>
        <v>220µF 350v</v>
      </c>
      <c r="L643" s="7" t="str">
        <f t="shared" si="120"/>
        <v>SK</v>
      </c>
      <c r="M643" s="31">
        <f t="shared" ref="M643:M706" si="124">VALUE(LEFT($E643,SEARCH("x",$E643)-1))</f>
        <v>22</v>
      </c>
      <c r="N643" s="31">
        <f t="shared" ref="N643:N706" si="125">VALUE(RIGHT($E643,LEN($E643)-SEARCH("x",$E643)))</f>
        <v>50</v>
      </c>
      <c r="O643" s="8" t="str">
        <f t="shared" ref="O643:O706" si="126">$A643&amp;"-"&amp;$B643</f>
        <v>Jamicon-SK</v>
      </c>
      <c r="P643" s="12" t="str">
        <f t="shared" si="121"/>
        <v>Jamicon R-22.0x50.0</v>
      </c>
      <c r="Q643" s="12" t="str">
        <f t="shared" ref="Q643:Q706" si="127">TEXT($C643,"General"&amp;CHAR(34)&amp;"µF"&amp;CHAR(34))</f>
        <v>220µF</v>
      </c>
      <c r="R643" s="12" t="str">
        <f t="shared" ref="R643:R706" si="128">TEXT($D643,"General"&amp;CHAR(34)&amp;"v"&amp;CHAR(34))</f>
        <v>350v</v>
      </c>
      <c r="S643" s="8" t="str">
        <f t="shared" si="122"/>
        <v>220µF 350v - R22.0-50.0 Jamicon (SK)</v>
      </c>
      <c r="T643" s="8">
        <f t="shared" ref="T643:T706" si="129">COUNTIF($S:$S,$S643)</f>
        <v>1</v>
      </c>
      <c r="U643" s="8" t="b">
        <f>NOT(ISNA(MATCH($P643,Packages!$A:$A,0)))</f>
        <v>1</v>
      </c>
    </row>
    <row r="644" spans="1:21" hidden="1">
      <c r="A644" s="6" t="s">
        <v>47</v>
      </c>
      <c r="B644" s="6" t="s">
        <v>48</v>
      </c>
      <c r="C644" s="33">
        <v>0.47</v>
      </c>
      <c r="D644" s="34">
        <v>400</v>
      </c>
      <c r="E644" s="6" t="s">
        <v>108</v>
      </c>
      <c r="F644" s="6" t="s">
        <v>59</v>
      </c>
      <c r="G644" s="6"/>
      <c r="H644" s="7" t="s">
        <v>141</v>
      </c>
      <c r="I644" s="7"/>
      <c r="J644" s="7" t="str">
        <f t="shared" si="119"/>
        <v>JAMICON</v>
      </c>
      <c r="K644" s="7" t="str">
        <f t="shared" si="123"/>
        <v>0.47µF 400v</v>
      </c>
      <c r="L644" s="7" t="str">
        <f t="shared" si="120"/>
        <v>SK</v>
      </c>
      <c r="M644" s="31">
        <f t="shared" si="124"/>
        <v>8</v>
      </c>
      <c r="N644" s="31">
        <f t="shared" si="125"/>
        <v>11.5</v>
      </c>
      <c r="O644" s="8" t="str">
        <f t="shared" si="126"/>
        <v>Jamicon-SK</v>
      </c>
      <c r="P644" s="12" t="str">
        <f t="shared" si="121"/>
        <v>Jamicon R-08.0x12.0</v>
      </c>
      <c r="Q644" s="12" t="str">
        <f t="shared" si="127"/>
        <v>0.47µF</v>
      </c>
      <c r="R644" s="12" t="str">
        <f t="shared" si="128"/>
        <v>400v</v>
      </c>
      <c r="S644" s="8" t="str">
        <f t="shared" si="122"/>
        <v>0.47µF 400v - R08.0-11.5 Jamicon (SK)</v>
      </c>
      <c r="T644" s="8">
        <f t="shared" si="129"/>
        <v>1</v>
      </c>
      <c r="U644" s="8" t="b">
        <f>NOT(ISNA(MATCH($P644,Packages!$A:$A,0)))</f>
        <v>1</v>
      </c>
    </row>
    <row r="645" spans="1:21" hidden="1">
      <c r="A645" s="6" t="s">
        <v>47</v>
      </c>
      <c r="B645" s="6" t="s">
        <v>48</v>
      </c>
      <c r="C645" s="33">
        <v>1</v>
      </c>
      <c r="D645" s="34">
        <v>400</v>
      </c>
      <c r="E645" s="6" t="s">
        <v>108</v>
      </c>
      <c r="F645" s="6" t="s">
        <v>59</v>
      </c>
      <c r="G645" s="6"/>
      <c r="H645" s="7" t="s">
        <v>141</v>
      </c>
      <c r="I645" s="7"/>
      <c r="J645" s="7" t="str">
        <f t="shared" ref="I645:J668" si="130">UPPER($A645)</f>
        <v>JAMICON</v>
      </c>
      <c r="K645" s="7" t="str">
        <f t="shared" si="123"/>
        <v>1µF 400v</v>
      </c>
      <c r="L645" s="7" t="str">
        <f t="shared" si="120"/>
        <v>SK</v>
      </c>
      <c r="M645" s="31">
        <f t="shared" si="124"/>
        <v>8</v>
      </c>
      <c r="N645" s="31">
        <f t="shared" si="125"/>
        <v>11.5</v>
      </c>
      <c r="O645" s="8" t="str">
        <f t="shared" si="126"/>
        <v>Jamicon-SK</v>
      </c>
      <c r="P645" s="12" t="str">
        <f t="shared" si="121"/>
        <v>Jamicon R-08.0x12.0</v>
      </c>
      <c r="Q645" s="12" t="str">
        <f t="shared" si="127"/>
        <v>1µF</v>
      </c>
      <c r="R645" s="12" t="str">
        <f t="shared" si="128"/>
        <v>400v</v>
      </c>
      <c r="S645" s="8" t="str">
        <f t="shared" si="122"/>
        <v>1µF 400v - R08.0-11.5 Jamicon (SK)</v>
      </c>
      <c r="T645" s="8">
        <f t="shared" si="129"/>
        <v>1</v>
      </c>
      <c r="U645" s="8" t="b">
        <f>NOT(ISNA(MATCH($P645,Packages!$A:$A,0)))</f>
        <v>1</v>
      </c>
    </row>
    <row r="646" spans="1:21" hidden="1">
      <c r="A646" s="6" t="s">
        <v>47</v>
      </c>
      <c r="B646" s="6" t="s">
        <v>48</v>
      </c>
      <c r="C646" s="33">
        <v>2.2000000000000002</v>
      </c>
      <c r="D646" s="34">
        <v>400</v>
      </c>
      <c r="E646" s="6" t="s">
        <v>108</v>
      </c>
      <c r="F646" s="6" t="s">
        <v>59</v>
      </c>
      <c r="G646" s="6"/>
      <c r="H646" s="7" t="s">
        <v>141</v>
      </c>
      <c r="I646" s="7"/>
      <c r="J646" s="7" t="str">
        <f t="shared" si="130"/>
        <v>JAMICON</v>
      </c>
      <c r="K646" s="7" t="str">
        <f t="shared" si="123"/>
        <v>2.2µF 400v</v>
      </c>
      <c r="L646" s="7" t="str">
        <f t="shared" si="120"/>
        <v>SK</v>
      </c>
      <c r="M646" s="31">
        <f t="shared" si="124"/>
        <v>8</v>
      </c>
      <c r="N646" s="31">
        <f t="shared" si="125"/>
        <v>11.5</v>
      </c>
      <c r="O646" s="8" t="str">
        <f t="shared" si="126"/>
        <v>Jamicon-SK</v>
      </c>
      <c r="P646" s="12" t="str">
        <f t="shared" si="121"/>
        <v>Jamicon R-08.0x12.0</v>
      </c>
      <c r="Q646" s="12" t="str">
        <f t="shared" si="127"/>
        <v>2.2µF</v>
      </c>
      <c r="R646" s="12" t="str">
        <f t="shared" si="128"/>
        <v>400v</v>
      </c>
      <c r="S646" s="8" t="str">
        <f t="shared" si="122"/>
        <v>2.2µF 400v - R08.0-11.5 Jamicon (SK)</v>
      </c>
      <c r="T646" s="8">
        <f t="shared" si="129"/>
        <v>1</v>
      </c>
      <c r="U646" s="8" t="b">
        <f>NOT(ISNA(MATCH($P646,Packages!$A:$A,0)))</f>
        <v>1</v>
      </c>
    </row>
    <row r="647" spans="1:21" hidden="1">
      <c r="A647" s="6" t="s">
        <v>47</v>
      </c>
      <c r="B647" s="6" t="s">
        <v>48</v>
      </c>
      <c r="C647" s="33">
        <v>3.3</v>
      </c>
      <c r="D647" s="34">
        <v>400</v>
      </c>
      <c r="E647" s="6" t="s">
        <v>92</v>
      </c>
      <c r="F647" s="6" t="s">
        <v>59</v>
      </c>
      <c r="G647" s="6"/>
      <c r="H647" s="7" t="s">
        <v>141</v>
      </c>
      <c r="I647" s="7"/>
      <c r="J647" s="7" t="str">
        <f t="shared" si="130"/>
        <v>JAMICON</v>
      </c>
      <c r="K647" s="7" t="str">
        <f t="shared" si="123"/>
        <v>3.3µF 400v</v>
      </c>
      <c r="L647" s="7" t="str">
        <f t="shared" si="120"/>
        <v>SK</v>
      </c>
      <c r="M647" s="31">
        <f t="shared" si="124"/>
        <v>10</v>
      </c>
      <c r="N647" s="31">
        <f t="shared" si="125"/>
        <v>12.5</v>
      </c>
      <c r="O647" s="8" t="str">
        <f t="shared" si="126"/>
        <v>Jamicon-SK</v>
      </c>
      <c r="P647" s="12" t="str">
        <f t="shared" si="121"/>
        <v>Jamicon R-10.0x13.0</v>
      </c>
      <c r="Q647" s="12" t="str">
        <f t="shared" si="127"/>
        <v>3.3µF</v>
      </c>
      <c r="R647" s="12" t="str">
        <f t="shared" si="128"/>
        <v>400v</v>
      </c>
      <c r="S647" s="8" t="str">
        <f t="shared" si="122"/>
        <v>3.3µF 400v - R10.0-12.5 Jamicon (SK)</v>
      </c>
      <c r="T647" s="8">
        <f t="shared" si="129"/>
        <v>1</v>
      </c>
      <c r="U647" s="8" t="b">
        <f>NOT(ISNA(MATCH($P647,Packages!$A:$A,0)))</f>
        <v>1</v>
      </c>
    </row>
    <row r="648" spans="1:21" hidden="1">
      <c r="A648" s="6" t="s">
        <v>47</v>
      </c>
      <c r="B648" s="6" t="s">
        <v>48</v>
      </c>
      <c r="C648" s="33">
        <v>4.7</v>
      </c>
      <c r="D648" s="34">
        <v>400</v>
      </c>
      <c r="E648" s="6" t="s">
        <v>74</v>
      </c>
      <c r="F648" s="6" t="s">
        <v>59</v>
      </c>
      <c r="G648" s="6"/>
      <c r="H648" s="7" t="s">
        <v>141</v>
      </c>
      <c r="I648" s="7"/>
      <c r="J648" s="7" t="str">
        <f t="shared" si="130"/>
        <v>JAMICON</v>
      </c>
      <c r="K648" s="7" t="str">
        <f t="shared" si="123"/>
        <v>4.7µF 400v</v>
      </c>
      <c r="L648" s="7" t="str">
        <f t="shared" si="120"/>
        <v>SK</v>
      </c>
      <c r="M648" s="31">
        <f t="shared" si="124"/>
        <v>10</v>
      </c>
      <c r="N648" s="31">
        <f t="shared" si="125"/>
        <v>16</v>
      </c>
      <c r="O648" s="8" t="str">
        <f t="shared" si="126"/>
        <v>Jamicon-SK</v>
      </c>
      <c r="P648" s="12" t="str">
        <f t="shared" si="121"/>
        <v>Jamicon R-10.0x16.0</v>
      </c>
      <c r="Q648" s="12" t="str">
        <f t="shared" si="127"/>
        <v>4.7µF</v>
      </c>
      <c r="R648" s="12" t="str">
        <f t="shared" si="128"/>
        <v>400v</v>
      </c>
      <c r="S648" s="8" t="str">
        <f t="shared" si="122"/>
        <v>4.7µF 400v - R10.0-16.0 Jamicon (SK)</v>
      </c>
      <c r="T648" s="8">
        <f t="shared" si="129"/>
        <v>1</v>
      </c>
      <c r="U648" s="8" t="b">
        <f>NOT(ISNA(MATCH($P648,Packages!$A:$A,0)))</f>
        <v>1</v>
      </c>
    </row>
    <row r="649" spans="1:21" hidden="1">
      <c r="A649" s="6" t="s">
        <v>47</v>
      </c>
      <c r="B649" s="6" t="s">
        <v>48</v>
      </c>
      <c r="C649" s="33">
        <v>10</v>
      </c>
      <c r="D649" s="34">
        <v>400</v>
      </c>
      <c r="E649" s="6" t="s">
        <v>95</v>
      </c>
      <c r="F649" s="6" t="s">
        <v>59</v>
      </c>
      <c r="G649" s="6"/>
      <c r="H649" s="7" t="s">
        <v>141</v>
      </c>
      <c r="I649" s="7"/>
      <c r="J649" s="7" t="str">
        <f t="shared" si="130"/>
        <v>JAMICON</v>
      </c>
      <c r="K649" s="7" t="str">
        <f t="shared" si="123"/>
        <v>10µF 400v</v>
      </c>
      <c r="L649" s="7" t="str">
        <f t="shared" si="120"/>
        <v>SK</v>
      </c>
      <c r="M649" s="31">
        <f t="shared" si="124"/>
        <v>12.5</v>
      </c>
      <c r="N649" s="31">
        <f t="shared" si="125"/>
        <v>20</v>
      </c>
      <c r="O649" s="8" t="str">
        <f t="shared" si="126"/>
        <v>Jamicon-SK</v>
      </c>
      <c r="P649" s="12" t="str">
        <f t="shared" si="121"/>
        <v>Jamicon R-13.0x20.0</v>
      </c>
      <c r="Q649" s="12" t="str">
        <f t="shared" si="127"/>
        <v>10µF</v>
      </c>
      <c r="R649" s="12" t="str">
        <f t="shared" si="128"/>
        <v>400v</v>
      </c>
      <c r="S649" s="8" t="str">
        <f t="shared" si="122"/>
        <v>10µF 400v - R12.5-20.0 Jamicon (SK)</v>
      </c>
      <c r="T649" s="8">
        <f t="shared" si="129"/>
        <v>1</v>
      </c>
      <c r="U649" s="8" t="b">
        <f>NOT(ISNA(MATCH($P649,Packages!$A:$A,0)))</f>
        <v>1</v>
      </c>
    </row>
    <row r="650" spans="1:21" hidden="1">
      <c r="A650" s="6" t="s">
        <v>47</v>
      </c>
      <c r="B650" s="6" t="s">
        <v>48</v>
      </c>
      <c r="C650" s="33">
        <v>22</v>
      </c>
      <c r="D650" s="34">
        <v>400</v>
      </c>
      <c r="E650" s="6" t="s">
        <v>96</v>
      </c>
      <c r="F650" s="6" t="s">
        <v>59</v>
      </c>
      <c r="G650" s="6"/>
      <c r="H650" s="7" t="s">
        <v>141</v>
      </c>
      <c r="I650" s="7"/>
      <c r="J650" s="7" t="str">
        <f t="shared" si="130"/>
        <v>JAMICON</v>
      </c>
      <c r="K650" s="7" t="str">
        <f t="shared" si="123"/>
        <v>22µF 400v</v>
      </c>
      <c r="L650" s="7" t="str">
        <f t="shared" si="120"/>
        <v>SK</v>
      </c>
      <c r="M650" s="31">
        <f t="shared" si="124"/>
        <v>12.5</v>
      </c>
      <c r="N650" s="31">
        <f t="shared" si="125"/>
        <v>25</v>
      </c>
      <c r="O650" s="8" t="str">
        <f t="shared" si="126"/>
        <v>Jamicon-SK</v>
      </c>
      <c r="P650" s="12" t="str">
        <f t="shared" si="121"/>
        <v>Jamicon R-13.0x25.0</v>
      </c>
      <c r="Q650" s="12" t="str">
        <f t="shared" si="127"/>
        <v>22µF</v>
      </c>
      <c r="R650" s="12" t="str">
        <f t="shared" si="128"/>
        <v>400v</v>
      </c>
      <c r="S650" s="8" t="str">
        <f t="shared" si="122"/>
        <v>22µF 400v - R12.5-25.0 Jamicon (SK)</v>
      </c>
      <c r="T650" s="8">
        <f t="shared" si="129"/>
        <v>1</v>
      </c>
      <c r="U650" s="8" t="b">
        <f>NOT(ISNA(MATCH($P650,Packages!$A:$A,0)))</f>
        <v>1</v>
      </c>
    </row>
    <row r="651" spans="1:21" hidden="1">
      <c r="A651" s="6" t="s">
        <v>47</v>
      </c>
      <c r="B651" s="6" t="s">
        <v>48</v>
      </c>
      <c r="C651" s="33">
        <v>33</v>
      </c>
      <c r="D651" s="34">
        <v>400</v>
      </c>
      <c r="E651" s="6" t="s">
        <v>97</v>
      </c>
      <c r="F651" s="6" t="s">
        <v>59</v>
      </c>
      <c r="G651" s="6"/>
      <c r="H651" s="7" t="s">
        <v>141</v>
      </c>
      <c r="I651" s="7"/>
      <c r="J651" s="7" t="str">
        <f t="shared" si="130"/>
        <v>JAMICON</v>
      </c>
      <c r="K651" s="7" t="str">
        <f t="shared" si="123"/>
        <v>33µF 400v</v>
      </c>
      <c r="L651" s="7" t="str">
        <f t="shared" si="120"/>
        <v>SK</v>
      </c>
      <c r="M651" s="31">
        <f t="shared" si="124"/>
        <v>16</v>
      </c>
      <c r="N651" s="31">
        <f t="shared" si="125"/>
        <v>25</v>
      </c>
      <c r="O651" s="8" t="str">
        <f t="shared" si="126"/>
        <v>Jamicon-SK</v>
      </c>
      <c r="P651" s="12" t="str">
        <f t="shared" si="121"/>
        <v>Jamicon R-16.0x25.0</v>
      </c>
      <c r="Q651" s="12" t="str">
        <f t="shared" si="127"/>
        <v>33µF</v>
      </c>
      <c r="R651" s="12" t="str">
        <f t="shared" si="128"/>
        <v>400v</v>
      </c>
      <c r="S651" s="8" t="str">
        <f t="shared" si="122"/>
        <v>33µF 400v - R16.0-25.0 Jamicon (SK)</v>
      </c>
      <c r="T651" s="8">
        <f t="shared" si="129"/>
        <v>1</v>
      </c>
      <c r="U651" s="8" t="b">
        <f>NOT(ISNA(MATCH($P651,Packages!$A:$A,0)))</f>
        <v>1</v>
      </c>
    </row>
    <row r="652" spans="1:21" hidden="1">
      <c r="A652" s="6" t="s">
        <v>47</v>
      </c>
      <c r="B652" s="6" t="s">
        <v>48</v>
      </c>
      <c r="C652" s="33">
        <v>47</v>
      </c>
      <c r="D652" s="34">
        <v>400</v>
      </c>
      <c r="E652" s="6" t="s">
        <v>98</v>
      </c>
      <c r="F652" s="6" t="s">
        <v>59</v>
      </c>
      <c r="G652" s="6"/>
      <c r="H652" s="7" t="s">
        <v>141</v>
      </c>
      <c r="I652" s="7"/>
      <c r="J652" s="7" t="str">
        <f t="shared" si="130"/>
        <v>JAMICON</v>
      </c>
      <c r="K652" s="7" t="str">
        <f t="shared" si="123"/>
        <v>47µF 400v</v>
      </c>
      <c r="L652" s="7" t="str">
        <f t="shared" si="120"/>
        <v>SK</v>
      </c>
      <c r="M652" s="31">
        <f t="shared" si="124"/>
        <v>16</v>
      </c>
      <c r="N652" s="31">
        <f t="shared" si="125"/>
        <v>31.5</v>
      </c>
      <c r="O652" s="8" t="str">
        <f t="shared" si="126"/>
        <v>Jamicon-SK</v>
      </c>
      <c r="P652" s="12" t="str">
        <f t="shared" si="121"/>
        <v>Jamicon R-16.0x32.0</v>
      </c>
      <c r="Q652" s="12" t="str">
        <f t="shared" si="127"/>
        <v>47µF</v>
      </c>
      <c r="R652" s="12" t="str">
        <f t="shared" si="128"/>
        <v>400v</v>
      </c>
      <c r="S652" s="8" t="str">
        <f t="shared" si="122"/>
        <v>47µF 400v - R16.0-31.5 Jamicon (SK)</v>
      </c>
      <c r="T652" s="8">
        <f t="shared" si="129"/>
        <v>1</v>
      </c>
      <c r="U652" s="8" t="b">
        <f>NOT(ISNA(MATCH($P652,Packages!$A:$A,0)))</f>
        <v>1</v>
      </c>
    </row>
    <row r="653" spans="1:21" hidden="1">
      <c r="A653" s="6" t="s">
        <v>47</v>
      </c>
      <c r="B653" s="6" t="s">
        <v>48</v>
      </c>
      <c r="C653" s="33">
        <v>47</v>
      </c>
      <c r="D653" s="34">
        <v>400</v>
      </c>
      <c r="E653" s="6" t="s">
        <v>102</v>
      </c>
      <c r="F653" s="6" t="s">
        <v>59</v>
      </c>
      <c r="G653" s="6"/>
      <c r="H653" s="7" t="s">
        <v>141</v>
      </c>
      <c r="I653" s="7"/>
      <c r="J653" s="7" t="str">
        <f t="shared" si="130"/>
        <v>JAMICON</v>
      </c>
      <c r="K653" s="7" t="str">
        <f t="shared" si="123"/>
        <v>47µF 400v</v>
      </c>
      <c r="L653" s="7" t="str">
        <f t="shared" si="120"/>
        <v>SK</v>
      </c>
      <c r="M653" s="31">
        <f t="shared" si="124"/>
        <v>22</v>
      </c>
      <c r="N653" s="31">
        <f t="shared" si="125"/>
        <v>30</v>
      </c>
      <c r="O653" s="8" t="str">
        <f t="shared" si="126"/>
        <v>Jamicon-SK</v>
      </c>
      <c r="P653" s="12" t="str">
        <f t="shared" si="121"/>
        <v>Jamicon R-22.0x30.0</v>
      </c>
      <c r="Q653" s="12" t="str">
        <f t="shared" si="127"/>
        <v>47µF</v>
      </c>
      <c r="R653" s="12" t="str">
        <f t="shared" si="128"/>
        <v>400v</v>
      </c>
      <c r="S653" s="8" t="str">
        <f t="shared" si="122"/>
        <v>47µF 400v - R22.0-30.0 Jamicon (SK)</v>
      </c>
      <c r="T653" s="8">
        <f t="shared" si="129"/>
        <v>1</v>
      </c>
      <c r="U653" s="8" t="b">
        <f>NOT(ISNA(MATCH($P653,Packages!$A:$A,0)))</f>
        <v>1</v>
      </c>
    </row>
    <row r="654" spans="1:21" hidden="1">
      <c r="A654" s="6" t="s">
        <v>47</v>
      </c>
      <c r="B654" s="6" t="s">
        <v>48</v>
      </c>
      <c r="C654" s="33">
        <v>100</v>
      </c>
      <c r="D654" s="34">
        <v>400</v>
      </c>
      <c r="E654" s="6" t="s">
        <v>100</v>
      </c>
      <c r="F654" s="6" t="s">
        <v>59</v>
      </c>
      <c r="G654" s="6"/>
      <c r="H654" s="7" t="s">
        <v>141</v>
      </c>
      <c r="I654" s="7"/>
      <c r="J654" s="7" t="str">
        <f t="shared" si="130"/>
        <v>JAMICON</v>
      </c>
      <c r="K654" s="7" t="str">
        <f t="shared" si="123"/>
        <v>100µF 400v</v>
      </c>
      <c r="L654" s="7" t="str">
        <f t="shared" si="120"/>
        <v>SK</v>
      </c>
      <c r="M654" s="31">
        <f t="shared" si="124"/>
        <v>18</v>
      </c>
      <c r="N654" s="31">
        <f t="shared" si="125"/>
        <v>35.5</v>
      </c>
      <c r="O654" s="8" t="str">
        <f t="shared" si="126"/>
        <v>Jamicon-SK</v>
      </c>
      <c r="P654" s="12" t="str">
        <f t="shared" si="121"/>
        <v>Jamicon R-18.0x36.0</v>
      </c>
      <c r="Q654" s="12" t="str">
        <f t="shared" si="127"/>
        <v>100µF</v>
      </c>
      <c r="R654" s="12" t="str">
        <f t="shared" si="128"/>
        <v>400v</v>
      </c>
      <c r="S654" s="8" t="str">
        <f t="shared" si="122"/>
        <v>100µF 400v - R18.0-35.5 Jamicon (SK)</v>
      </c>
      <c r="T654" s="8">
        <f t="shared" si="129"/>
        <v>1</v>
      </c>
      <c r="U654" s="8" t="b">
        <f>NOT(ISNA(MATCH($P654,Packages!$A:$A,0)))</f>
        <v>1</v>
      </c>
    </row>
    <row r="655" spans="1:21" hidden="1">
      <c r="A655" s="6" t="s">
        <v>47</v>
      </c>
      <c r="B655" s="6" t="s">
        <v>48</v>
      </c>
      <c r="C655" s="33">
        <v>100</v>
      </c>
      <c r="D655" s="34">
        <v>400</v>
      </c>
      <c r="E655" s="6" t="s">
        <v>104</v>
      </c>
      <c r="F655" s="6" t="s">
        <v>59</v>
      </c>
      <c r="G655" s="6"/>
      <c r="H655" s="7" t="s">
        <v>141</v>
      </c>
      <c r="I655" s="7"/>
      <c r="J655" s="7" t="str">
        <f t="shared" si="130"/>
        <v>JAMICON</v>
      </c>
      <c r="K655" s="7" t="str">
        <f t="shared" si="123"/>
        <v>100µF 400v</v>
      </c>
      <c r="L655" s="7" t="str">
        <f t="shared" si="120"/>
        <v>SK</v>
      </c>
      <c r="M655" s="31">
        <f t="shared" si="124"/>
        <v>22</v>
      </c>
      <c r="N655" s="31">
        <f t="shared" si="125"/>
        <v>40</v>
      </c>
      <c r="O655" s="8" t="str">
        <f t="shared" si="126"/>
        <v>Jamicon-SK</v>
      </c>
      <c r="P655" s="12" t="str">
        <f t="shared" si="121"/>
        <v>Jamicon R-22.0x40.0</v>
      </c>
      <c r="Q655" s="12" t="str">
        <f t="shared" si="127"/>
        <v>100µF</v>
      </c>
      <c r="R655" s="12" t="str">
        <f t="shared" si="128"/>
        <v>400v</v>
      </c>
      <c r="S655" s="8" t="str">
        <f t="shared" si="122"/>
        <v>100µF 400v - R22.0-40.0 Jamicon (SK)</v>
      </c>
      <c r="T655" s="8">
        <f t="shared" si="129"/>
        <v>1</v>
      </c>
      <c r="U655" s="8" t="b">
        <f>NOT(ISNA(MATCH($P655,Packages!$A:$A,0)))</f>
        <v>1</v>
      </c>
    </row>
    <row r="656" spans="1:21" hidden="1">
      <c r="A656" s="6" t="s">
        <v>47</v>
      </c>
      <c r="B656" s="6" t="s">
        <v>48</v>
      </c>
      <c r="C656" s="33">
        <v>150</v>
      </c>
      <c r="D656" s="34">
        <v>400</v>
      </c>
      <c r="E656" s="6" t="s">
        <v>86</v>
      </c>
      <c r="F656" s="6" t="s">
        <v>59</v>
      </c>
      <c r="G656" s="6"/>
      <c r="H656" s="7" t="s">
        <v>141</v>
      </c>
      <c r="I656" s="7"/>
      <c r="J656" s="7" t="str">
        <f t="shared" si="130"/>
        <v>JAMICON</v>
      </c>
      <c r="K656" s="7" t="str">
        <f t="shared" si="123"/>
        <v>150µF 400v</v>
      </c>
      <c r="L656" s="7" t="str">
        <f t="shared" si="120"/>
        <v>SK</v>
      </c>
      <c r="M656" s="31">
        <f t="shared" si="124"/>
        <v>25</v>
      </c>
      <c r="N656" s="31">
        <f t="shared" si="125"/>
        <v>50</v>
      </c>
      <c r="O656" s="8" t="str">
        <f t="shared" si="126"/>
        <v>Jamicon-SK</v>
      </c>
      <c r="P656" s="12" t="str">
        <f t="shared" si="121"/>
        <v>Jamicon R-25.0x50.0</v>
      </c>
      <c r="Q656" s="12" t="str">
        <f t="shared" si="127"/>
        <v>150µF</v>
      </c>
      <c r="R656" s="12" t="str">
        <f t="shared" si="128"/>
        <v>400v</v>
      </c>
      <c r="S656" s="8" t="str">
        <f t="shared" si="122"/>
        <v>150µF 400v - R25.0-50.0 Jamicon (SK)</v>
      </c>
      <c r="T656" s="8">
        <f t="shared" si="129"/>
        <v>1</v>
      </c>
      <c r="U656" s="8" t="b">
        <f>NOT(ISNA(MATCH($P656,Packages!$A:$A,0)))</f>
        <v>1</v>
      </c>
    </row>
    <row r="657" spans="1:21" hidden="1">
      <c r="A657" s="6" t="s">
        <v>47</v>
      </c>
      <c r="B657" s="6" t="s">
        <v>48</v>
      </c>
      <c r="C657" s="33">
        <v>0.47</v>
      </c>
      <c r="D657" s="34">
        <v>450</v>
      </c>
      <c r="E657" s="6" t="s">
        <v>108</v>
      </c>
      <c r="F657" s="6" t="s">
        <v>59</v>
      </c>
      <c r="G657" s="6"/>
      <c r="H657" s="7" t="s">
        <v>141</v>
      </c>
      <c r="I657" s="7"/>
      <c r="J657" s="7" t="str">
        <f t="shared" si="130"/>
        <v>JAMICON</v>
      </c>
      <c r="K657" s="7" t="str">
        <f t="shared" si="123"/>
        <v>0.47µF 450v</v>
      </c>
      <c r="L657" s="7" t="str">
        <f t="shared" si="120"/>
        <v>SK</v>
      </c>
      <c r="M657" s="31">
        <f t="shared" si="124"/>
        <v>8</v>
      </c>
      <c r="N657" s="31">
        <f t="shared" si="125"/>
        <v>11.5</v>
      </c>
      <c r="O657" s="8" t="str">
        <f t="shared" si="126"/>
        <v>Jamicon-SK</v>
      </c>
      <c r="P657" s="12" t="str">
        <f t="shared" si="121"/>
        <v>Jamicon R-08.0x12.0</v>
      </c>
      <c r="Q657" s="12" t="str">
        <f t="shared" si="127"/>
        <v>0.47µF</v>
      </c>
      <c r="R657" s="12" t="str">
        <f t="shared" si="128"/>
        <v>450v</v>
      </c>
      <c r="S657" s="8" t="str">
        <f t="shared" si="122"/>
        <v>0.47µF 450v - R08.0-11.5 Jamicon (SK)</v>
      </c>
      <c r="T657" s="8">
        <f t="shared" si="129"/>
        <v>1</v>
      </c>
      <c r="U657" s="8" t="b">
        <f>NOT(ISNA(MATCH($P657,Packages!$A:$A,0)))</f>
        <v>1</v>
      </c>
    </row>
    <row r="658" spans="1:21" hidden="1">
      <c r="A658" s="6" t="s">
        <v>47</v>
      </c>
      <c r="B658" s="6" t="s">
        <v>48</v>
      </c>
      <c r="C658" s="33">
        <v>1</v>
      </c>
      <c r="D658" s="34">
        <v>450</v>
      </c>
      <c r="E658" s="6" t="s">
        <v>108</v>
      </c>
      <c r="F658" s="6" t="s">
        <v>59</v>
      </c>
      <c r="G658" s="6"/>
      <c r="H658" s="7" t="s">
        <v>141</v>
      </c>
      <c r="I658" s="7"/>
      <c r="J658" s="7" t="str">
        <f t="shared" si="130"/>
        <v>JAMICON</v>
      </c>
      <c r="K658" s="7" t="str">
        <f t="shared" si="123"/>
        <v>1µF 450v</v>
      </c>
      <c r="L658" s="7" t="str">
        <f t="shared" si="120"/>
        <v>SK</v>
      </c>
      <c r="M658" s="31">
        <f t="shared" si="124"/>
        <v>8</v>
      </c>
      <c r="N658" s="31">
        <f t="shared" si="125"/>
        <v>11.5</v>
      </c>
      <c r="O658" s="8" t="str">
        <f t="shared" si="126"/>
        <v>Jamicon-SK</v>
      </c>
      <c r="P658" s="12" t="str">
        <f t="shared" si="121"/>
        <v>Jamicon R-08.0x12.0</v>
      </c>
      <c r="Q658" s="12" t="str">
        <f t="shared" si="127"/>
        <v>1µF</v>
      </c>
      <c r="R658" s="12" t="str">
        <f t="shared" si="128"/>
        <v>450v</v>
      </c>
      <c r="S658" s="8" t="str">
        <f t="shared" si="122"/>
        <v>1µF 450v - R08.0-11.5 Jamicon (SK)</v>
      </c>
      <c r="T658" s="8">
        <f t="shared" si="129"/>
        <v>1</v>
      </c>
      <c r="U658" s="8" t="b">
        <f>NOT(ISNA(MATCH($P658,Packages!$A:$A,0)))</f>
        <v>1</v>
      </c>
    </row>
    <row r="659" spans="1:21" hidden="1">
      <c r="A659" s="6" t="s">
        <v>47</v>
      </c>
      <c r="B659" s="6" t="s">
        <v>48</v>
      </c>
      <c r="C659" s="33">
        <v>2.2000000000000002</v>
      </c>
      <c r="D659" s="34">
        <v>450</v>
      </c>
      <c r="E659" s="6" t="s">
        <v>92</v>
      </c>
      <c r="F659" s="6" t="s">
        <v>59</v>
      </c>
      <c r="G659" s="6"/>
      <c r="H659" s="7" t="s">
        <v>141</v>
      </c>
      <c r="I659" s="7"/>
      <c r="J659" s="7" t="str">
        <f t="shared" si="130"/>
        <v>JAMICON</v>
      </c>
      <c r="K659" s="7" t="str">
        <f t="shared" si="123"/>
        <v>2.2µF 450v</v>
      </c>
      <c r="L659" s="7" t="str">
        <f t="shared" si="120"/>
        <v>SK</v>
      </c>
      <c r="M659" s="31">
        <f t="shared" si="124"/>
        <v>10</v>
      </c>
      <c r="N659" s="31">
        <f t="shared" si="125"/>
        <v>12.5</v>
      </c>
      <c r="O659" s="8" t="str">
        <f t="shared" si="126"/>
        <v>Jamicon-SK</v>
      </c>
      <c r="P659" s="12" t="str">
        <f t="shared" si="121"/>
        <v>Jamicon R-10.0x13.0</v>
      </c>
      <c r="Q659" s="12" t="str">
        <f t="shared" si="127"/>
        <v>2.2µF</v>
      </c>
      <c r="R659" s="12" t="str">
        <f t="shared" si="128"/>
        <v>450v</v>
      </c>
      <c r="S659" s="8" t="str">
        <f t="shared" si="122"/>
        <v>2.2µF 450v - R10.0-12.5 Jamicon (SK)</v>
      </c>
      <c r="T659" s="8">
        <f t="shared" si="129"/>
        <v>1</v>
      </c>
      <c r="U659" s="8" t="b">
        <f>NOT(ISNA(MATCH($P659,Packages!$A:$A,0)))</f>
        <v>1</v>
      </c>
    </row>
    <row r="660" spans="1:21" hidden="1">
      <c r="A660" s="6" t="s">
        <v>47</v>
      </c>
      <c r="B660" s="6" t="s">
        <v>48</v>
      </c>
      <c r="C660" s="33">
        <v>3.3</v>
      </c>
      <c r="D660" s="34">
        <v>450</v>
      </c>
      <c r="E660" s="6" t="s">
        <v>74</v>
      </c>
      <c r="F660" s="6" t="s">
        <v>59</v>
      </c>
      <c r="G660" s="6"/>
      <c r="H660" s="7" t="s">
        <v>141</v>
      </c>
      <c r="I660" s="7"/>
      <c r="J660" s="7" t="str">
        <f t="shared" si="130"/>
        <v>JAMICON</v>
      </c>
      <c r="K660" s="7" t="str">
        <f t="shared" si="123"/>
        <v>3.3µF 450v</v>
      </c>
      <c r="L660" s="7" t="str">
        <f t="shared" si="120"/>
        <v>SK</v>
      </c>
      <c r="M660" s="31">
        <f t="shared" si="124"/>
        <v>10</v>
      </c>
      <c r="N660" s="31">
        <f t="shared" si="125"/>
        <v>16</v>
      </c>
      <c r="O660" s="8" t="str">
        <f t="shared" si="126"/>
        <v>Jamicon-SK</v>
      </c>
      <c r="P660" s="12" t="str">
        <f t="shared" si="121"/>
        <v>Jamicon R-10.0x16.0</v>
      </c>
      <c r="Q660" s="12" t="str">
        <f t="shared" si="127"/>
        <v>3.3µF</v>
      </c>
      <c r="R660" s="12" t="str">
        <f t="shared" si="128"/>
        <v>450v</v>
      </c>
      <c r="S660" s="8" t="str">
        <f t="shared" si="122"/>
        <v>3.3µF 450v - R10.0-16.0 Jamicon (SK)</v>
      </c>
      <c r="T660" s="8">
        <f t="shared" si="129"/>
        <v>1</v>
      </c>
      <c r="U660" s="8" t="b">
        <f>NOT(ISNA(MATCH($P660,Packages!$A:$A,0)))</f>
        <v>1</v>
      </c>
    </row>
    <row r="661" spans="1:21" hidden="1">
      <c r="A661" s="6" t="s">
        <v>47</v>
      </c>
      <c r="B661" s="6" t="s">
        <v>48</v>
      </c>
      <c r="C661" s="33">
        <v>4.7</v>
      </c>
      <c r="D661" s="34">
        <v>450</v>
      </c>
      <c r="E661" s="6" t="s">
        <v>93</v>
      </c>
      <c r="F661" s="6" t="s">
        <v>59</v>
      </c>
      <c r="G661" s="6"/>
      <c r="H661" s="7" t="s">
        <v>141</v>
      </c>
      <c r="I661" s="7"/>
      <c r="J661" s="7" t="str">
        <f t="shared" si="130"/>
        <v>JAMICON</v>
      </c>
      <c r="K661" s="7" t="str">
        <f t="shared" si="123"/>
        <v>4.7µF 450v</v>
      </c>
      <c r="L661" s="7" t="str">
        <f t="shared" si="120"/>
        <v>SK</v>
      </c>
      <c r="M661" s="31">
        <f t="shared" si="124"/>
        <v>10</v>
      </c>
      <c r="N661" s="31">
        <f t="shared" si="125"/>
        <v>18</v>
      </c>
      <c r="O661" s="8" t="str">
        <f t="shared" si="126"/>
        <v>Jamicon-SK</v>
      </c>
      <c r="P661" s="12" t="str">
        <f t="shared" si="121"/>
        <v>Jamicon R-10.0x18.0</v>
      </c>
      <c r="Q661" s="12" t="str">
        <f t="shared" si="127"/>
        <v>4.7µF</v>
      </c>
      <c r="R661" s="12" t="str">
        <f t="shared" si="128"/>
        <v>450v</v>
      </c>
      <c r="S661" s="8" t="str">
        <f t="shared" si="122"/>
        <v>4.7µF 450v - R10.0-18.0 Jamicon (SK)</v>
      </c>
      <c r="T661" s="8">
        <f t="shared" si="129"/>
        <v>1</v>
      </c>
      <c r="U661" s="8" t="b">
        <f>NOT(ISNA(MATCH($P661,Packages!$A:$A,0)))</f>
        <v>1</v>
      </c>
    </row>
    <row r="662" spans="1:21" hidden="1">
      <c r="A662" s="6" t="s">
        <v>47</v>
      </c>
      <c r="B662" s="6" t="s">
        <v>48</v>
      </c>
      <c r="C662" s="33">
        <v>10</v>
      </c>
      <c r="D662" s="34">
        <v>450</v>
      </c>
      <c r="E662" s="6" t="s">
        <v>95</v>
      </c>
      <c r="F662" s="6" t="s">
        <v>59</v>
      </c>
      <c r="G662" s="6"/>
      <c r="H662" s="7" t="s">
        <v>141</v>
      </c>
      <c r="I662" s="7"/>
      <c r="J662" s="7" t="str">
        <f t="shared" si="130"/>
        <v>JAMICON</v>
      </c>
      <c r="K662" s="7" t="str">
        <f t="shared" si="123"/>
        <v>10µF 450v</v>
      </c>
      <c r="L662" s="7" t="str">
        <f t="shared" si="120"/>
        <v>SK</v>
      </c>
      <c r="M662" s="31">
        <f t="shared" si="124"/>
        <v>12.5</v>
      </c>
      <c r="N662" s="31">
        <f t="shared" si="125"/>
        <v>20</v>
      </c>
      <c r="O662" s="8" t="str">
        <f t="shared" si="126"/>
        <v>Jamicon-SK</v>
      </c>
      <c r="P662" s="12" t="str">
        <f t="shared" si="121"/>
        <v>Jamicon R-13.0x20.0</v>
      </c>
      <c r="Q662" s="12" t="str">
        <f t="shared" si="127"/>
        <v>10µF</v>
      </c>
      <c r="R662" s="12" t="str">
        <f t="shared" si="128"/>
        <v>450v</v>
      </c>
      <c r="S662" s="8" t="str">
        <f t="shared" si="122"/>
        <v>10µF 450v - R12.5-20.0 Jamicon (SK)</v>
      </c>
      <c r="T662" s="8">
        <f t="shared" si="129"/>
        <v>1</v>
      </c>
      <c r="U662" s="8" t="b">
        <f>NOT(ISNA(MATCH($P662,Packages!$A:$A,0)))</f>
        <v>1</v>
      </c>
    </row>
    <row r="663" spans="1:21" hidden="1">
      <c r="A663" s="6" t="s">
        <v>47</v>
      </c>
      <c r="B663" s="6" t="s">
        <v>48</v>
      </c>
      <c r="C663" s="33">
        <v>22</v>
      </c>
      <c r="D663" s="34">
        <v>450</v>
      </c>
      <c r="E663" s="6" t="s">
        <v>97</v>
      </c>
      <c r="F663" s="6" t="s">
        <v>59</v>
      </c>
      <c r="G663" s="6"/>
      <c r="H663" s="7" t="s">
        <v>141</v>
      </c>
      <c r="I663" s="7"/>
      <c r="J663" s="7" t="str">
        <f t="shared" si="130"/>
        <v>JAMICON</v>
      </c>
      <c r="K663" s="7" t="str">
        <f t="shared" si="123"/>
        <v>22µF 450v</v>
      </c>
      <c r="L663" s="7" t="str">
        <f t="shared" si="120"/>
        <v>SK</v>
      </c>
      <c r="M663" s="31">
        <f t="shared" si="124"/>
        <v>16</v>
      </c>
      <c r="N663" s="31">
        <f t="shared" si="125"/>
        <v>25</v>
      </c>
      <c r="O663" s="8" t="str">
        <f t="shared" si="126"/>
        <v>Jamicon-SK</v>
      </c>
      <c r="P663" s="12" t="str">
        <f t="shared" si="121"/>
        <v>Jamicon R-16.0x25.0</v>
      </c>
      <c r="Q663" s="12" t="str">
        <f t="shared" si="127"/>
        <v>22µF</v>
      </c>
      <c r="R663" s="12" t="str">
        <f t="shared" si="128"/>
        <v>450v</v>
      </c>
      <c r="S663" s="8" t="str">
        <f t="shared" si="122"/>
        <v>22µF 450v - R16.0-25.0 Jamicon (SK)</v>
      </c>
      <c r="T663" s="8">
        <f t="shared" si="129"/>
        <v>1</v>
      </c>
      <c r="U663" s="8" t="b">
        <f>NOT(ISNA(MATCH($P663,Packages!$A:$A,0)))</f>
        <v>1</v>
      </c>
    </row>
    <row r="664" spans="1:21" hidden="1">
      <c r="A664" s="6" t="s">
        <v>47</v>
      </c>
      <c r="B664" s="6" t="s">
        <v>48</v>
      </c>
      <c r="C664" s="33">
        <v>33</v>
      </c>
      <c r="D664" s="34">
        <v>450</v>
      </c>
      <c r="E664" s="6" t="s">
        <v>98</v>
      </c>
      <c r="F664" s="6" t="s">
        <v>59</v>
      </c>
      <c r="G664" s="6"/>
      <c r="H664" s="7" t="s">
        <v>141</v>
      </c>
      <c r="I664" s="7"/>
      <c r="J664" s="7" t="str">
        <f t="shared" si="130"/>
        <v>JAMICON</v>
      </c>
      <c r="K664" s="7" t="str">
        <f t="shared" si="123"/>
        <v>33µF 450v</v>
      </c>
      <c r="L664" s="7" t="str">
        <f t="shared" ref="L664:L667" si="131">B664</f>
        <v>SK</v>
      </c>
      <c r="M664" s="31">
        <f t="shared" si="124"/>
        <v>16</v>
      </c>
      <c r="N664" s="31">
        <f t="shared" si="125"/>
        <v>31.5</v>
      </c>
      <c r="O664" s="8" t="str">
        <f t="shared" si="126"/>
        <v>Jamicon-SK</v>
      </c>
      <c r="P664" s="12" t="str">
        <f t="shared" si="121"/>
        <v>Jamicon R-16.0x32.0</v>
      </c>
      <c r="Q664" s="12" t="str">
        <f t="shared" si="127"/>
        <v>33µF</v>
      </c>
      <c r="R664" s="12" t="str">
        <f t="shared" si="128"/>
        <v>450v</v>
      </c>
      <c r="S664" s="8" t="str">
        <f t="shared" si="122"/>
        <v>33µF 450v - R16.0-31.5 Jamicon (SK)</v>
      </c>
      <c r="T664" s="8">
        <f t="shared" si="129"/>
        <v>1</v>
      </c>
      <c r="U664" s="8" t="b">
        <f>NOT(ISNA(MATCH($P664,Packages!$A:$A,0)))</f>
        <v>1</v>
      </c>
    </row>
    <row r="665" spans="1:21" hidden="1">
      <c r="A665" s="6" t="s">
        <v>47</v>
      </c>
      <c r="B665" s="6" t="s">
        <v>48</v>
      </c>
      <c r="C665" s="33">
        <v>47</v>
      </c>
      <c r="D665" s="34">
        <v>450</v>
      </c>
      <c r="E665" s="6" t="s">
        <v>100</v>
      </c>
      <c r="F665" s="6" t="s">
        <v>59</v>
      </c>
      <c r="G665" s="6"/>
      <c r="H665" s="7" t="s">
        <v>141</v>
      </c>
      <c r="I665" s="7"/>
      <c r="J665" s="7" t="str">
        <f t="shared" si="130"/>
        <v>JAMICON</v>
      </c>
      <c r="K665" s="7" t="str">
        <f t="shared" si="123"/>
        <v>47µF 450v</v>
      </c>
      <c r="L665" s="7" t="str">
        <f t="shared" si="131"/>
        <v>SK</v>
      </c>
      <c r="M665" s="31">
        <f t="shared" si="124"/>
        <v>18</v>
      </c>
      <c r="N665" s="31">
        <f t="shared" si="125"/>
        <v>35.5</v>
      </c>
      <c r="O665" s="8" t="str">
        <f t="shared" si="126"/>
        <v>Jamicon-SK</v>
      </c>
      <c r="P665" s="12" t="str">
        <f t="shared" si="121"/>
        <v>Jamicon R-18.0x36.0</v>
      </c>
      <c r="Q665" s="12" t="str">
        <f t="shared" si="127"/>
        <v>47µF</v>
      </c>
      <c r="R665" s="12" t="str">
        <f t="shared" si="128"/>
        <v>450v</v>
      </c>
      <c r="S665" s="8" t="str">
        <f t="shared" si="122"/>
        <v>47µF 450v - R18.0-35.5 Jamicon (SK)</v>
      </c>
      <c r="T665" s="8">
        <f t="shared" si="129"/>
        <v>1</v>
      </c>
      <c r="U665" s="8" t="b">
        <f>NOT(ISNA(MATCH($P665,Packages!$A:$A,0)))</f>
        <v>1</v>
      </c>
    </row>
    <row r="666" spans="1:21" hidden="1">
      <c r="A666" s="6" t="s">
        <v>47</v>
      </c>
      <c r="B666" s="6" t="s">
        <v>48</v>
      </c>
      <c r="C666" s="33">
        <v>100</v>
      </c>
      <c r="D666" s="34">
        <v>450</v>
      </c>
      <c r="E666" s="6" t="s">
        <v>100</v>
      </c>
      <c r="F666" s="6" t="s">
        <v>59</v>
      </c>
      <c r="G666" s="6"/>
      <c r="H666" s="7" t="s">
        <v>141</v>
      </c>
      <c r="I666" s="7"/>
      <c r="J666" s="7" t="str">
        <f t="shared" si="130"/>
        <v>JAMICON</v>
      </c>
      <c r="K666" s="7" t="str">
        <f t="shared" si="123"/>
        <v>100µF 450v</v>
      </c>
      <c r="L666" s="7" t="str">
        <f t="shared" si="131"/>
        <v>SK</v>
      </c>
      <c r="M666" s="31">
        <f t="shared" si="124"/>
        <v>18</v>
      </c>
      <c r="N666" s="31">
        <f t="shared" si="125"/>
        <v>35.5</v>
      </c>
      <c r="O666" s="8" t="str">
        <f t="shared" si="126"/>
        <v>Jamicon-SK</v>
      </c>
      <c r="P666" s="12" t="str">
        <f t="shared" si="121"/>
        <v>Jamicon R-18.0x36.0</v>
      </c>
      <c r="Q666" s="12" t="str">
        <f t="shared" si="127"/>
        <v>100µF</v>
      </c>
      <c r="R666" s="12" t="str">
        <f t="shared" si="128"/>
        <v>450v</v>
      </c>
      <c r="S666" s="8" t="str">
        <f t="shared" si="122"/>
        <v>100µF 450v - R18.0-35.5 Jamicon (SK)</v>
      </c>
      <c r="T666" s="8">
        <f t="shared" si="129"/>
        <v>1</v>
      </c>
      <c r="U666" s="8" t="b">
        <f>NOT(ISNA(MATCH($P666,Packages!$A:$A,0)))</f>
        <v>1</v>
      </c>
    </row>
    <row r="667" spans="1:21" hidden="1">
      <c r="A667" s="6" t="s">
        <v>47</v>
      </c>
      <c r="B667" s="6" t="s">
        <v>53</v>
      </c>
      <c r="C667" s="33">
        <v>150</v>
      </c>
      <c r="D667" s="34">
        <v>6.3</v>
      </c>
      <c r="E667" s="6" t="s">
        <v>68</v>
      </c>
      <c r="F667" s="6" t="s">
        <v>59</v>
      </c>
      <c r="G667" s="6"/>
      <c r="H667" s="7" t="s">
        <v>141</v>
      </c>
      <c r="I667" s="7" t="str">
        <f t="shared" si="130"/>
        <v>JAMICON</v>
      </c>
      <c r="J667" s="7" t="str">
        <f t="shared" si="123"/>
        <v>150µF 6.3v</v>
      </c>
      <c r="K667" s="7"/>
      <c r="L667" s="7" t="str">
        <f t="shared" si="131"/>
        <v>WL</v>
      </c>
      <c r="M667" s="31">
        <f t="shared" si="124"/>
        <v>5</v>
      </c>
      <c r="N667" s="31">
        <f t="shared" si="125"/>
        <v>11</v>
      </c>
      <c r="O667" s="8" t="str">
        <f t="shared" si="126"/>
        <v>Jamicon-WL</v>
      </c>
      <c r="P667" s="12" t="str">
        <f t="shared" si="121"/>
        <v>Jamicon R-05.0x11.0</v>
      </c>
      <c r="Q667" s="12" t="str">
        <f t="shared" si="127"/>
        <v>150µF</v>
      </c>
      <c r="R667" s="12" t="str">
        <f t="shared" si="128"/>
        <v>6.3v</v>
      </c>
      <c r="S667" s="8" t="str">
        <f t="shared" si="122"/>
        <v>150µF 6.3v - R05.0-11.0 Jamicon (WL)</v>
      </c>
      <c r="T667" s="8">
        <f t="shared" si="129"/>
        <v>1</v>
      </c>
      <c r="U667" s="8" t="b">
        <f>NOT(ISNA(MATCH($P667,Packages!$A:$A,0)))</f>
        <v>1</v>
      </c>
    </row>
    <row r="668" spans="1:21" hidden="1">
      <c r="A668" s="6" t="s">
        <v>47</v>
      </c>
      <c r="B668" s="6" t="s">
        <v>53</v>
      </c>
      <c r="C668" s="33">
        <v>180</v>
      </c>
      <c r="D668" s="34">
        <v>6.3</v>
      </c>
      <c r="E668" s="6" t="s">
        <v>68</v>
      </c>
      <c r="F668" s="6" t="s">
        <v>59</v>
      </c>
      <c r="G668" s="6"/>
      <c r="H668" s="7" t="s">
        <v>141</v>
      </c>
      <c r="I668" s="7" t="str">
        <f t="shared" si="130"/>
        <v>JAMICON</v>
      </c>
      <c r="J668" s="7" t="str">
        <f t="shared" si="123"/>
        <v>180µF 6.3v</v>
      </c>
      <c r="K668" s="7"/>
      <c r="L668" s="7" t="str">
        <f t="shared" ref="L668:L731" si="132">B668</f>
        <v>WL</v>
      </c>
      <c r="M668" s="31">
        <f t="shared" si="124"/>
        <v>5</v>
      </c>
      <c r="N668" s="31">
        <f t="shared" si="125"/>
        <v>11</v>
      </c>
      <c r="O668" s="8" t="str">
        <f t="shared" si="126"/>
        <v>Jamicon-WL</v>
      </c>
      <c r="P668" s="12" t="str">
        <f t="shared" si="121"/>
        <v>Jamicon R-05.0x11.0</v>
      </c>
      <c r="Q668" s="12" t="str">
        <f t="shared" si="127"/>
        <v>180µF</v>
      </c>
      <c r="R668" s="12" t="str">
        <f t="shared" si="128"/>
        <v>6.3v</v>
      </c>
      <c r="S668" s="8" t="str">
        <f t="shared" si="122"/>
        <v>180µF 6.3v - R05.0-11.0 Jamicon (WL)</v>
      </c>
      <c r="T668" s="8">
        <f t="shared" si="129"/>
        <v>1</v>
      </c>
      <c r="U668" s="8" t="b">
        <f>NOT(ISNA(MATCH($P668,Packages!$A:$A,0)))</f>
        <v>1</v>
      </c>
    </row>
    <row r="669" spans="1:21" hidden="1">
      <c r="A669" s="6" t="s">
        <v>47</v>
      </c>
      <c r="B669" s="6" t="s">
        <v>53</v>
      </c>
      <c r="C669" s="33">
        <v>220</v>
      </c>
      <c r="D669" s="34">
        <v>6.3</v>
      </c>
      <c r="E669" s="6" t="s">
        <v>68</v>
      </c>
      <c r="F669" s="6" t="s">
        <v>59</v>
      </c>
      <c r="G669" s="6"/>
      <c r="H669" s="7" t="s">
        <v>141</v>
      </c>
      <c r="I669" s="7" t="str">
        <f t="shared" ref="I669:I732" si="133">UPPER($A669)</f>
        <v>JAMICON</v>
      </c>
      <c r="J669" s="7" t="str">
        <f t="shared" ref="J669:J732" si="134">$Q669&amp;" "&amp;$R669</f>
        <v>220µF 6.3v</v>
      </c>
      <c r="K669" s="7"/>
      <c r="L669" s="7" t="str">
        <f t="shared" si="132"/>
        <v>WL</v>
      </c>
      <c r="M669" s="31">
        <f t="shared" si="124"/>
        <v>5</v>
      </c>
      <c r="N669" s="31">
        <f t="shared" si="125"/>
        <v>11</v>
      </c>
      <c r="O669" s="8" t="str">
        <f t="shared" si="126"/>
        <v>Jamicon-WL</v>
      </c>
      <c r="P669" s="12" t="str">
        <f t="shared" si="121"/>
        <v>Jamicon R-05.0x11.0</v>
      </c>
      <c r="Q669" s="12" t="str">
        <f t="shared" si="127"/>
        <v>220µF</v>
      </c>
      <c r="R669" s="12" t="str">
        <f t="shared" si="128"/>
        <v>6.3v</v>
      </c>
      <c r="S669" s="8" t="str">
        <f t="shared" si="122"/>
        <v>220µF 6.3v - R05.0-11.0 Jamicon (WL)</v>
      </c>
      <c r="T669" s="8">
        <f t="shared" si="129"/>
        <v>1</v>
      </c>
      <c r="U669" s="8" t="b">
        <f>NOT(ISNA(MATCH($P669,Packages!$A:$A,0)))</f>
        <v>1</v>
      </c>
    </row>
    <row r="670" spans="1:21" hidden="1">
      <c r="A670" s="6" t="s">
        <v>47</v>
      </c>
      <c r="B670" s="6" t="s">
        <v>53</v>
      </c>
      <c r="C670" s="33">
        <v>270</v>
      </c>
      <c r="D670" s="34">
        <v>6.3</v>
      </c>
      <c r="E670" s="6" t="s">
        <v>118</v>
      </c>
      <c r="F670" s="6" t="s">
        <v>59</v>
      </c>
      <c r="G670" s="6"/>
      <c r="H670" s="7" t="s">
        <v>141</v>
      </c>
      <c r="I670" s="7" t="str">
        <f t="shared" si="133"/>
        <v>JAMICON</v>
      </c>
      <c r="J670" s="7" t="str">
        <f t="shared" si="134"/>
        <v>270µF 6.3v</v>
      </c>
      <c r="K670" s="7"/>
      <c r="L670" s="7" t="str">
        <f t="shared" si="132"/>
        <v>WL</v>
      </c>
      <c r="M670" s="31">
        <f t="shared" si="124"/>
        <v>5</v>
      </c>
      <c r="N670" s="31">
        <f t="shared" si="125"/>
        <v>15</v>
      </c>
      <c r="O670" s="8" t="str">
        <f t="shared" si="126"/>
        <v>Jamicon-WL</v>
      </c>
      <c r="P670" s="12" t="str">
        <f t="shared" si="121"/>
        <v>Jamicon R-05.0x15.0</v>
      </c>
      <c r="Q670" s="12" t="str">
        <f t="shared" si="127"/>
        <v>270µF</v>
      </c>
      <c r="R670" s="12" t="str">
        <f t="shared" si="128"/>
        <v>6.3v</v>
      </c>
      <c r="S670" s="8" t="str">
        <f t="shared" si="122"/>
        <v>270µF 6.3v - R05.0-15.0 Jamicon (WL)</v>
      </c>
      <c r="T670" s="8">
        <f t="shared" si="129"/>
        <v>1</v>
      </c>
      <c r="U670" s="8" t="b">
        <f>NOT(ISNA(MATCH($P670,Packages!$A:$A,0)))</f>
        <v>1</v>
      </c>
    </row>
    <row r="671" spans="1:21" hidden="1">
      <c r="A671" s="6" t="s">
        <v>47</v>
      </c>
      <c r="B671" s="6" t="s">
        <v>53</v>
      </c>
      <c r="C671" s="33">
        <v>270</v>
      </c>
      <c r="D671" s="34">
        <v>6.3</v>
      </c>
      <c r="E671" s="6" t="s">
        <v>69</v>
      </c>
      <c r="F671" s="6" t="s">
        <v>59</v>
      </c>
      <c r="G671" s="6"/>
      <c r="H671" s="7" t="s">
        <v>141</v>
      </c>
      <c r="I671" s="7" t="str">
        <f t="shared" si="133"/>
        <v>JAMICON</v>
      </c>
      <c r="J671" s="7" t="str">
        <f t="shared" si="134"/>
        <v>270µF 6.3v</v>
      </c>
      <c r="K671" s="7"/>
      <c r="L671" s="7" t="str">
        <f t="shared" si="132"/>
        <v>WL</v>
      </c>
      <c r="M671" s="31">
        <f t="shared" si="124"/>
        <v>6.3</v>
      </c>
      <c r="N671" s="31">
        <f t="shared" si="125"/>
        <v>11</v>
      </c>
      <c r="O671" s="8" t="str">
        <f t="shared" si="126"/>
        <v>Jamicon-WL</v>
      </c>
      <c r="P671" s="12" t="str">
        <f t="shared" si="121"/>
        <v>Jamicon R-06.0x11.0</v>
      </c>
      <c r="Q671" s="12" t="str">
        <f t="shared" si="127"/>
        <v>270µF</v>
      </c>
      <c r="R671" s="12" t="str">
        <f t="shared" si="128"/>
        <v>6.3v</v>
      </c>
      <c r="S671" s="8" t="str">
        <f t="shared" si="122"/>
        <v>270µF 6.3v - R06.3-11.0 Jamicon (WL)</v>
      </c>
      <c r="T671" s="8">
        <f t="shared" si="129"/>
        <v>1</v>
      </c>
      <c r="U671" s="8" t="b">
        <f>NOT(ISNA(MATCH($P671,Packages!$A:$A,0)))</f>
        <v>1</v>
      </c>
    </row>
    <row r="672" spans="1:21" hidden="1">
      <c r="A672" s="6" t="s">
        <v>47</v>
      </c>
      <c r="B672" s="6" t="s">
        <v>53</v>
      </c>
      <c r="C672" s="33">
        <v>330</v>
      </c>
      <c r="D672" s="34">
        <v>6.3</v>
      </c>
      <c r="E672" s="6" t="s">
        <v>118</v>
      </c>
      <c r="F672" s="6" t="s">
        <v>59</v>
      </c>
      <c r="G672" s="6"/>
      <c r="H672" s="7" t="s">
        <v>141</v>
      </c>
      <c r="I672" s="7" t="str">
        <f t="shared" si="133"/>
        <v>JAMICON</v>
      </c>
      <c r="J672" s="7" t="str">
        <f t="shared" si="134"/>
        <v>330µF 6.3v</v>
      </c>
      <c r="K672" s="7"/>
      <c r="L672" s="7" t="str">
        <f t="shared" si="132"/>
        <v>WL</v>
      </c>
      <c r="M672" s="31">
        <f t="shared" si="124"/>
        <v>5</v>
      </c>
      <c r="N672" s="31">
        <f t="shared" si="125"/>
        <v>15</v>
      </c>
      <c r="O672" s="8" t="str">
        <f t="shared" si="126"/>
        <v>Jamicon-WL</v>
      </c>
      <c r="P672" s="12" t="str">
        <f t="shared" si="121"/>
        <v>Jamicon R-05.0x15.0</v>
      </c>
      <c r="Q672" s="12" t="str">
        <f t="shared" si="127"/>
        <v>330µF</v>
      </c>
      <c r="R672" s="12" t="str">
        <f t="shared" si="128"/>
        <v>6.3v</v>
      </c>
      <c r="S672" s="8" t="str">
        <f t="shared" si="122"/>
        <v>330µF 6.3v - R05.0-15.0 Jamicon (WL)</v>
      </c>
      <c r="T672" s="8">
        <f t="shared" si="129"/>
        <v>1</v>
      </c>
      <c r="U672" s="8" t="b">
        <f>NOT(ISNA(MATCH($P672,Packages!$A:$A,0)))</f>
        <v>1</v>
      </c>
    </row>
    <row r="673" spans="1:21" hidden="1">
      <c r="A673" s="6" t="s">
        <v>47</v>
      </c>
      <c r="B673" s="6" t="s">
        <v>53</v>
      </c>
      <c r="C673" s="33">
        <v>330</v>
      </c>
      <c r="D673" s="34">
        <v>6.3</v>
      </c>
      <c r="E673" s="6" t="s">
        <v>69</v>
      </c>
      <c r="F673" s="6" t="s">
        <v>59</v>
      </c>
      <c r="G673" s="6"/>
      <c r="H673" s="7" t="s">
        <v>141</v>
      </c>
      <c r="I673" s="7" t="str">
        <f t="shared" si="133"/>
        <v>JAMICON</v>
      </c>
      <c r="J673" s="7" t="str">
        <f t="shared" si="134"/>
        <v>330µF 6.3v</v>
      </c>
      <c r="K673" s="7"/>
      <c r="L673" s="7" t="str">
        <f t="shared" si="132"/>
        <v>WL</v>
      </c>
      <c r="M673" s="31">
        <f t="shared" si="124"/>
        <v>6.3</v>
      </c>
      <c r="N673" s="31">
        <f t="shared" si="125"/>
        <v>11</v>
      </c>
      <c r="O673" s="8" t="str">
        <f t="shared" si="126"/>
        <v>Jamicon-WL</v>
      </c>
      <c r="P673" s="12" t="str">
        <f t="shared" si="121"/>
        <v>Jamicon R-06.0x11.0</v>
      </c>
      <c r="Q673" s="12" t="str">
        <f t="shared" si="127"/>
        <v>330µF</v>
      </c>
      <c r="R673" s="12" t="str">
        <f t="shared" si="128"/>
        <v>6.3v</v>
      </c>
      <c r="S673" s="8" t="str">
        <f t="shared" si="122"/>
        <v>330µF 6.3v - R06.3-11.0 Jamicon (WL)</v>
      </c>
      <c r="T673" s="8">
        <f t="shared" si="129"/>
        <v>1</v>
      </c>
      <c r="U673" s="8" t="b">
        <f>NOT(ISNA(MATCH($P673,Packages!$A:$A,0)))</f>
        <v>1</v>
      </c>
    </row>
    <row r="674" spans="1:21" hidden="1">
      <c r="A674" s="6" t="s">
        <v>47</v>
      </c>
      <c r="B674" s="6" t="s">
        <v>53</v>
      </c>
      <c r="C674" s="33">
        <v>390</v>
      </c>
      <c r="D674" s="34">
        <v>6.3</v>
      </c>
      <c r="E674" s="6" t="s">
        <v>119</v>
      </c>
      <c r="F674" s="6" t="s">
        <v>59</v>
      </c>
      <c r="G674" s="6"/>
      <c r="H674" s="7" t="s">
        <v>141</v>
      </c>
      <c r="I674" s="7" t="str">
        <f t="shared" si="133"/>
        <v>JAMICON</v>
      </c>
      <c r="J674" s="7" t="str">
        <f t="shared" si="134"/>
        <v>390µF 6.3v</v>
      </c>
      <c r="K674" s="7"/>
      <c r="L674" s="7" t="str">
        <f t="shared" si="132"/>
        <v>WL</v>
      </c>
      <c r="M674" s="31">
        <f t="shared" si="124"/>
        <v>6.3</v>
      </c>
      <c r="N674" s="31">
        <f t="shared" si="125"/>
        <v>15</v>
      </c>
      <c r="O674" s="8" t="str">
        <f t="shared" si="126"/>
        <v>Jamicon-WL</v>
      </c>
      <c r="P674" s="12" t="str">
        <f t="shared" si="121"/>
        <v>Jamicon R-06.0x15.0</v>
      </c>
      <c r="Q674" s="12" t="str">
        <f t="shared" si="127"/>
        <v>390µF</v>
      </c>
      <c r="R674" s="12" t="str">
        <f t="shared" si="128"/>
        <v>6.3v</v>
      </c>
      <c r="S674" s="8" t="str">
        <f t="shared" si="122"/>
        <v>390µF 6.3v - R06.3-15.0 Jamicon (WL)</v>
      </c>
      <c r="T674" s="8">
        <f t="shared" si="129"/>
        <v>1</v>
      </c>
      <c r="U674" s="8" t="b">
        <f>NOT(ISNA(MATCH($P674,Packages!$A:$A,0)))</f>
        <v>1</v>
      </c>
    </row>
    <row r="675" spans="1:21" hidden="1">
      <c r="A675" s="6" t="s">
        <v>47</v>
      </c>
      <c r="B675" s="6" t="s">
        <v>53</v>
      </c>
      <c r="C675" s="33">
        <v>390</v>
      </c>
      <c r="D675" s="34">
        <v>6.3</v>
      </c>
      <c r="E675" s="6" t="s">
        <v>108</v>
      </c>
      <c r="F675" s="6" t="s">
        <v>59</v>
      </c>
      <c r="G675" s="6"/>
      <c r="H675" s="7" t="s">
        <v>141</v>
      </c>
      <c r="I675" s="7" t="str">
        <f t="shared" si="133"/>
        <v>JAMICON</v>
      </c>
      <c r="J675" s="7" t="str">
        <f t="shared" si="134"/>
        <v>390µF 6.3v</v>
      </c>
      <c r="K675" s="7"/>
      <c r="L675" s="7" t="str">
        <f t="shared" si="132"/>
        <v>WL</v>
      </c>
      <c r="M675" s="31">
        <f t="shared" si="124"/>
        <v>8</v>
      </c>
      <c r="N675" s="31">
        <f t="shared" si="125"/>
        <v>11.5</v>
      </c>
      <c r="O675" s="8" t="str">
        <f t="shared" si="126"/>
        <v>Jamicon-WL</v>
      </c>
      <c r="P675" s="12" t="str">
        <f t="shared" si="121"/>
        <v>Jamicon R-08.0x12.0</v>
      </c>
      <c r="Q675" s="12" t="str">
        <f t="shared" si="127"/>
        <v>390µF</v>
      </c>
      <c r="R675" s="12" t="str">
        <f t="shared" si="128"/>
        <v>6.3v</v>
      </c>
      <c r="S675" s="8" t="str">
        <f t="shared" si="122"/>
        <v>390µF 6.3v - R08.0-11.5 Jamicon (WL)</v>
      </c>
      <c r="T675" s="8">
        <f t="shared" si="129"/>
        <v>1</v>
      </c>
      <c r="U675" s="8" t="b">
        <f>NOT(ISNA(MATCH($P675,Packages!$A:$A,0)))</f>
        <v>1</v>
      </c>
    </row>
    <row r="676" spans="1:21" hidden="1">
      <c r="A676" s="6" t="s">
        <v>47</v>
      </c>
      <c r="B676" s="6" t="s">
        <v>53</v>
      </c>
      <c r="C676" s="33">
        <v>470</v>
      </c>
      <c r="D676" s="34">
        <v>6.3</v>
      </c>
      <c r="E676" s="6" t="s">
        <v>119</v>
      </c>
      <c r="F676" s="6" t="s">
        <v>59</v>
      </c>
      <c r="G676" s="6"/>
      <c r="H676" s="7" t="s">
        <v>141</v>
      </c>
      <c r="I676" s="7" t="str">
        <f t="shared" si="133"/>
        <v>JAMICON</v>
      </c>
      <c r="J676" s="7" t="str">
        <f t="shared" si="134"/>
        <v>470µF 6.3v</v>
      </c>
      <c r="K676" s="7"/>
      <c r="L676" s="7" t="str">
        <f t="shared" si="132"/>
        <v>WL</v>
      </c>
      <c r="M676" s="31">
        <f t="shared" si="124"/>
        <v>6.3</v>
      </c>
      <c r="N676" s="31">
        <f t="shared" si="125"/>
        <v>15</v>
      </c>
      <c r="O676" s="8" t="str">
        <f t="shared" si="126"/>
        <v>Jamicon-WL</v>
      </c>
      <c r="P676" s="12" t="str">
        <f t="shared" si="121"/>
        <v>Jamicon R-06.0x15.0</v>
      </c>
      <c r="Q676" s="12" t="str">
        <f t="shared" si="127"/>
        <v>470µF</v>
      </c>
      <c r="R676" s="12" t="str">
        <f t="shared" si="128"/>
        <v>6.3v</v>
      </c>
      <c r="S676" s="8" t="str">
        <f t="shared" si="122"/>
        <v>470µF 6.3v - R06.3-15.0 Jamicon (WL)</v>
      </c>
      <c r="T676" s="8">
        <f t="shared" si="129"/>
        <v>1</v>
      </c>
      <c r="U676" s="8" t="b">
        <f>NOT(ISNA(MATCH($P676,Packages!$A:$A,0)))</f>
        <v>1</v>
      </c>
    </row>
    <row r="677" spans="1:21" hidden="1">
      <c r="A677" s="6" t="s">
        <v>47</v>
      </c>
      <c r="B677" s="6" t="s">
        <v>53</v>
      </c>
      <c r="C677" s="33">
        <v>470</v>
      </c>
      <c r="D677" s="34">
        <v>6.3</v>
      </c>
      <c r="E677" s="6" t="s">
        <v>108</v>
      </c>
      <c r="F677" s="6" t="s">
        <v>59</v>
      </c>
      <c r="G677" s="6"/>
      <c r="H677" s="7" t="s">
        <v>141</v>
      </c>
      <c r="I677" s="7" t="str">
        <f t="shared" si="133"/>
        <v>JAMICON</v>
      </c>
      <c r="J677" s="7" t="str">
        <f t="shared" si="134"/>
        <v>470µF 6.3v</v>
      </c>
      <c r="K677" s="7"/>
      <c r="L677" s="7" t="str">
        <f t="shared" si="132"/>
        <v>WL</v>
      </c>
      <c r="M677" s="31">
        <f t="shared" si="124"/>
        <v>8</v>
      </c>
      <c r="N677" s="31">
        <f t="shared" si="125"/>
        <v>11.5</v>
      </c>
      <c r="O677" s="8" t="str">
        <f t="shared" si="126"/>
        <v>Jamicon-WL</v>
      </c>
      <c r="P677" s="12" t="str">
        <f t="shared" si="121"/>
        <v>Jamicon R-08.0x12.0</v>
      </c>
      <c r="Q677" s="12" t="str">
        <f t="shared" si="127"/>
        <v>470µF</v>
      </c>
      <c r="R677" s="12" t="str">
        <f t="shared" si="128"/>
        <v>6.3v</v>
      </c>
      <c r="S677" s="8" t="str">
        <f t="shared" si="122"/>
        <v>470µF 6.3v - R08.0-11.5 Jamicon (WL)</v>
      </c>
      <c r="T677" s="8">
        <f t="shared" si="129"/>
        <v>1</v>
      </c>
      <c r="U677" s="8" t="b">
        <f>NOT(ISNA(MATCH($P677,Packages!$A:$A,0)))</f>
        <v>1</v>
      </c>
    </row>
    <row r="678" spans="1:21" hidden="1">
      <c r="A678" s="6" t="s">
        <v>47</v>
      </c>
      <c r="B678" s="6" t="s">
        <v>53</v>
      </c>
      <c r="C678" s="33">
        <v>560</v>
      </c>
      <c r="D678" s="34">
        <v>6.3</v>
      </c>
      <c r="E678" s="6" t="s">
        <v>119</v>
      </c>
      <c r="F678" s="6" t="s">
        <v>59</v>
      </c>
      <c r="G678" s="6"/>
      <c r="H678" s="7" t="s">
        <v>141</v>
      </c>
      <c r="I678" s="7" t="str">
        <f t="shared" si="133"/>
        <v>JAMICON</v>
      </c>
      <c r="J678" s="7" t="str">
        <f t="shared" si="134"/>
        <v>560µF 6.3v</v>
      </c>
      <c r="K678" s="7"/>
      <c r="L678" s="7" t="str">
        <f t="shared" si="132"/>
        <v>WL</v>
      </c>
      <c r="M678" s="31">
        <f t="shared" si="124"/>
        <v>6.3</v>
      </c>
      <c r="N678" s="31">
        <f t="shared" si="125"/>
        <v>15</v>
      </c>
      <c r="O678" s="8" t="str">
        <f t="shared" si="126"/>
        <v>Jamicon-WL</v>
      </c>
      <c r="P678" s="12" t="str">
        <f t="shared" si="121"/>
        <v>Jamicon R-06.0x15.0</v>
      </c>
      <c r="Q678" s="12" t="str">
        <f t="shared" si="127"/>
        <v>560µF</v>
      </c>
      <c r="R678" s="12" t="str">
        <f t="shared" si="128"/>
        <v>6.3v</v>
      </c>
      <c r="S678" s="8" t="str">
        <f t="shared" si="122"/>
        <v>560µF 6.3v - R06.3-15.0 Jamicon (WL)</v>
      </c>
      <c r="T678" s="8">
        <f t="shared" si="129"/>
        <v>1</v>
      </c>
      <c r="U678" s="8" t="b">
        <f>NOT(ISNA(MATCH($P678,Packages!$A:$A,0)))</f>
        <v>1</v>
      </c>
    </row>
    <row r="679" spans="1:21" hidden="1">
      <c r="A679" s="6" t="s">
        <v>47</v>
      </c>
      <c r="B679" s="6" t="s">
        <v>53</v>
      </c>
      <c r="C679" s="33">
        <v>560</v>
      </c>
      <c r="D679" s="34">
        <v>6.3</v>
      </c>
      <c r="E679" s="6" t="s">
        <v>108</v>
      </c>
      <c r="F679" s="6" t="s">
        <v>59</v>
      </c>
      <c r="G679" s="6"/>
      <c r="H679" s="7" t="s">
        <v>141</v>
      </c>
      <c r="I679" s="7" t="str">
        <f t="shared" si="133"/>
        <v>JAMICON</v>
      </c>
      <c r="J679" s="7" t="str">
        <f t="shared" si="134"/>
        <v>560µF 6.3v</v>
      </c>
      <c r="K679" s="7"/>
      <c r="L679" s="7" t="str">
        <f t="shared" si="132"/>
        <v>WL</v>
      </c>
      <c r="M679" s="31">
        <f t="shared" si="124"/>
        <v>8</v>
      </c>
      <c r="N679" s="31">
        <f t="shared" si="125"/>
        <v>11.5</v>
      </c>
      <c r="O679" s="8" t="str">
        <f t="shared" si="126"/>
        <v>Jamicon-WL</v>
      </c>
      <c r="P679" s="12" t="str">
        <f t="shared" si="121"/>
        <v>Jamicon R-08.0x12.0</v>
      </c>
      <c r="Q679" s="12" t="str">
        <f t="shared" si="127"/>
        <v>560µF</v>
      </c>
      <c r="R679" s="12" t="str">
        <f t="shared" si="128"/>
        <v>6.3v</v>
      </c>
      <c r="S679" s="8" t="str">
        <f t="shared" si="122"/>
        <v>560µF 6.3v - R08.0-11.5 Jamicon (WL)</v>
      </c>
      <c r="T679" s="8">
        <f t="shared" si="129"/>
        <v>1</v>
      </c>
      <c r="U679" s="8" t="b">
        <f>NOT(ISNA(MATCH($P679,Packages!$A:$A,0)))</f>
        <v>1</v>
      </c>
    </row>
    <row r="680" spans="1:21" hidden="1">
      <c r="A680" s="6" t="s">
        <v>47</v>
      </c>
      <c r="B680" s="6" t="s">
        <v>53</v>
      </c>
      <c r="C680" s="33">
        <v>680</v>
      </c>
      <c r="D680" s="34">
        <v>6.3</v>
      </c>
      <c r="E680" s="6" t="s">
        <v>119</v>
      </c>
      <c r="F680" s="6" t="s">
        <v>59</v>
      </c>
      <c r="G680" s="6"/>
      <c r="H680" s="7" t="s">
        <v>141</v>
      </c>
      <c r="I680" s="7" t="str">
        <f t="shared" si="133"/>
        <v>JAMICON</v>
      </c>
      <c r="J680" s="7" t="str">
        <f t="shared" si="134"/>
        <v>680µF 6.3v</v>
      </c>
      <c r="K680" s="7"/>
      <c r="L680" s="7" t="str">
        <f t="shared" si="132"/>
        <v>WL</v>
      </c>
      <c r="M680" s="31">
        <f t="shared" si="124"/>
        <v>6.3</v>
      </c>
      <c r="N680" s="31">
        <f t="shared" si="125"/>
        <v>15</v>
      </c>
      <c r="O680" s="8" t="str">
        <f t="shared" si="126"/>
        <v>Jamicon-WL</v>
      </c>
      <c r="P680" s="12" t="str">
        <f t="shared" si="121"/>
        <v>Jamicon R-06.0x15.0</v>
      </c>
      <c r="Q680" s="12" t="str">
        <f t="shared" si="127"/>
        <v>680µF</v>
      </c>
      <c r="R680" s="12" t="str">
        <f t="shared" si="128"/>
        <v>6.3v</v>
      </c>
      <c r="S680" s="8" t="str">
        <f t="shared" si="122"/>
        <v>680µF 6.3v - R06.3-15.0 Jamicon (WL)</v>
      </c>
      <c r="T680" s="8">
        <f t="shared" si="129"/>
        <v>1</v>
      </c>
      <c r="U680" s="8" t="b">
        <f>NOT(ISNA(MATCH($P680,Packages!$A:$A,0)))</f>
        <v>1</v>
      </c>
    </row>
    <row r="681" spans="1:21" hidden="1">
      <c r="A681" s="6" t="s">
        <v>47</v>
      </c>
      <c r="B681" s="6" t="s">
        <v>53</v>
      </c>
      <c r="C681" s="33">
        <v>680</v>
      </c>
      <c r="D681" s="34">
        <v>6.3</v>
      </c>
      <c r="E681" s="6" t="s">
        <v>108</v>
      </c>
      <c r="F681" s="6" t="s">
        <v>59</v>
      </c>
      <c r="G681" s="6"/>
      <c r="H681" s="7" t="s">
        <v>141</v>
      </c>
      <c r="I681" s="7" t="str">
        <f t="shared" si="133"/>
        <v>JAMICON</v>
      </c>
      <c r="J681" s="7" t="str">
        <f t="shared" si="134"/>
        <v>680µF 6.3v</v>
      </c>
      <c r="K681" s="7"/>
      <c r="L681" s="7" t="str">
        <f t="shared" si="132"/>
        <v>WL</v>
      </c>
      <c r="M681" s="31">
        <f t="shared" si="124"/>
        <v>8</v>
      </c>
      <c r="N681" s="31">
        <f t="shared" si="125"/>
        <v>11.5</v>
      </c>
      <c r="O681" s="8" t="str">
        <f t="shared" si="126"/>
        <v>Jamicon-WL</v>
      </c>
      <c r="P681" s="12" t="str">
        <f t="shared" si="121"/>
        <v>Jamicon R-08.0x12.0</v>
      </c>
      <c r="Q681" s="12" t="str">
        <f t="shared" si="127"/>
        <v>680µF</v>
      </c>
      <c r="R681" s="12" t="str">
        <f t="shared" si="128"/>
        <v>6.3v</v>
      </c>
      <c r="S681" s="8" t="str">
        <f t="shared" si="122"/>
        <v>680µF 6.3v - R08.0-11.5 Jamicon (WL)</v>
      </c>
      <c r="T681" s="8">
        <f t="shared" si="129"/>
        <v>1</v>
      </c>
      <c r="U681" s="8" t="b">
        <f>NOT(ISNA(MATCH($P681,Packages!$A:$A,0)))</f>
        <v>1</v>
      </c>
    </row>
    <row r="682" spans="1:21" hidden="1">
      <c r="A682" s="6" t="s">
        <v>47</v>
      </c>
      <c r="B682" s="6" t="s">
        <v>53</v>
      </c>
      <c r="C682" s="33">
        <v>820</v>
      </c>
      <c r="D682" s="34">
        <v>6.3</v>
      </c>
      <c r="E682" s="6" t="s">
        <v>120</v>
      </c>
      <c r="F682" s="6" t="s">
        <v>59</v>
      </c>
      <c r="G682" s="6"/>
      <c r="H682" s="7" t="s">
        <v>141</v>
      </c>
      <c r="I682" s="7" t="str">
        <f t="shared" si="133"/>
        <v>JAMICON</v>
      </c>
      <c r="J682" s="7" t="str">
        <f t="shared" si="134"/>
        <v>820µF 6.3v</v>
      </c>
      <c r="K682" s="7"/>
      <c r="L682" s="7" t="str">
        <f t="shared" si="132"/>
        <v>WL</v>
      </c>
      <c r="M682" s="31">
        <f t="shared" si="124"/>
        <v>8</v>
      </c>
      <c r="N682" s="31">
        <f t="shared" si="125"/>
        <v>15</v>
      </c>
      <c r="O682" s="8" t="str">
        <f t="shared" si="126"/>
        <v>Jamicon-WL</v>
      </c>
      <c r="P682" s="12" t="str">
        <f t="shared" si="121"/>
        <v>Jamicon R-08.0x15.0</v>
      </c>
      <c r="Q682" s="12" t="str">
        <f t="shared" si="127"/>
        <v>820µF</v>
      </c>
      <c r="R682" s="12" t="str">
        <f t="shared" si="128"/>
        <v>6.3v</v>
      </c>
      <c r="S682" s="8" t="str">
        <f t="shared" si="122"/>
        <v>820µF 6.3v - R08.0-15.0 Jamicon (WL)</v>
      </c>
      <c r="T682" s="8">
        <f t="shared" si="129"/>
        <v>1</v>
      </c>
      <c r="U682" s="8" t="b">
        <f>NOT(ISNA(MATCH($P682,Packages!$A:$A,0)))</f>
        <v>1</v>
      </c>
    </row>
    <row r="683" spans="1:21" hidden="1">
      <c r="A683" s="6" t="s">
        <v>47</v>
      </c>
      <c r="B683" s="6" t="s">
        <v>53</v>
      </c>
      <c r="C683" s="33">
        <v>820</v>
      </c>
      <c r="D683" s="34">
        <v>6.3</v>
      </c>
      <c r="E683" s="6" t="s">
        <v>92</v>
      </c>
      <c r="F683" s="6" t="s">
        <v>59</v>
      </c>
      <c r="G683" s="6"/>
      <c r="H683" s="7" t="s">
        <v>141</v>
      </c>
      <c r="I683" s="7" t="str">
        <f t="shared" si="133"/>
        <v>JAMICON</v>
      </c>
      <c r="J683" s="7" t="str">
        <f t="shared" si="134"/>
        <v>820µF 6.3v</v>
      </c>
      <c r="K683" s="7"/>
      <c r="L683" s="7" t="str">
        <f t="shared" si="132"/>
        <v>WL</v>
      </c>
      <c r="M683" s="31">
        <f t="shared" si="124"/>
        <v>10</v>
      </c>
      <c r="N683" s="31">
        <f t="shared" si="125"/>
        <v>12.5</v>
      </c>
      <c r="O683" s="8" t="str">
        <f t="shared" si="126"/>
        <v>Jamicon-WL</v>
      </c>
      <c r="P683" s="12" t="str">
        <f t="shared" si="121"/>
        <v>Jamicon R-10.0x13.0</v>
      </c>
      <c r="Q683" s="12" t="str">
        <f t="shared" si="127"/>
        <v>820µF</v>
      </c>
      <c r="R683" s="12" t="str">
        <f t="shared" si="128"/>
        <v>6.3v</v>
      </c>
      <c r="S683" s="8" t="str">
        <f t="shared" si="122"/>
        <v>820µF 6.3v - R10.0-12.5 Jamicon (WL)</v>
      </c>
      <c r="T683" s="8">
        <f t="shared" si="129"/>
        <v>1</v>
      </c>
      <c r="U683" s="8" t="b">
        <f>NOT(ISNA(MATCH($P683,Packages!$A:$A,0)))</f>
        <v>1</v>
      </c>
    </row>
    <row r="684" spans="1:21" hidden="1">
      <c r="A684" s="6" t="s">
        <v>47</v>
      </c>
      <c r="B684" s="6" t="s">
        <v>53</v>
      </c>
      <c r="C684" s="33">
        <v>1000</v>
      </c>
      <c r="D684" s="34">
        <v>6.3</v>
      </c>
      <c r="E684" s="6" t="s">
        <v>120</v>
      </c>
      <c r="F684" s="6" t="s">
        <v>59</v>
      </c>
      <c r="G684" s="6"/>
      <c r="H684" s="7" t="s">
        <v>141</v>
      </c>
      <c r="I684" s="7" t="str">
        <f t="shared" si="133"/>
        <v>JAMICON</v>
      </c>
      <c r="J684" s="7" t="str">
        <f t="shared" si="134"/>
        <v>1000µF 6.3v</v>
      </c>
      <c r="K684" s="7"/>
      <c r="L684" s="7" t="str">
        <f t="shared" si="132"/>
        <v>WL</v>
      </c>
      <c r="M684" s="31">
        <f t="shared" si="124"/>
        <v>8</v>
      </c>
      <c r="N684" s="31">
        <f t="shared" si="125"/>
        <v>15</v>
      </c>
      <c r="O684" s="8" t="str">
        <f t="shared" si="126"/>
        <v>Jamicon-WL</v>
      </c>
      <c r="P684" s="12" t="str">
        <f t="shared" si="121"/>
        <v>Jamicon R-08.0x15.0</v>
      </c>
      <c r="Q684" s="12" t="str">
        <f t="shared" si="127"/>
        <v>1000µF</v>
      </c>
      <c r="R684" s="12" t="str">
        <f t="shared" si="128"/>
        <v>6.3v</v>
      </c>
      <c r="S684" s="8" t="str">
        <f t="shared" si="122"/>
        <v>1000µF 6.3v - R08.0-15.0 Jamicon (WL)</v>
      </c>
      <c r="T684" s="8">
        <f t="shared" si="129"/>
        <v>1</v>
      </c>
      <c r="U684" s="8" t="b">
        <f>NOT(ISNA(MATCH($P684,Packages!$A:$A,0)))</f>
        <v>1</v>
      </c>
    </row>
    <row r="685" spans="1:21" hidden="1">
      <c r="A685" s="6" t="s">
        <v>47</v>
      </c>
      <c r="B685" s="6" t="s">
        <v>53</v>
      </c>
      <c r="C685" s="33">
        <v>1000</v>
      </c>
      <c r="D685" s="34">
        <v>6.3</v>
      </c>
      <c r="E685" s="6" t="s">
        <v>92</v>
      </c>
      <c r="F685" s="6" t="s">
        <v>59</v>
      </c>
      <c r="G685" s="6"/>
      <c r="H685" s="7" t="s">
        <v>141</v>
      </c>
      <c r="I685" s="7" t="str">
        <f t="shared" si="133"/>
        <v>JAMICON</v>
      </c>
      <c r="J685" s="7" t="str">
        <f t="shared" si="134"/>
        <v>1000µF 6.3v</v>
      </c>
      <c r="K685" s="7"/>
      <c r="L685" s="7" t="str">
        <f t="shared" si="132"/>
        <v>WL</v>
      </c>
      <c r="M685" s="31">
        <f t="shared" si="124"/>
        <v>10</v>
      </c>
      <c r="N685" s="31">
        <f t="shared" si="125"/>
        <v>12.5</v>
      </c>
      <c r="O685" s="8" t="str">
        <f t="shared" si="126"/>
        <v>Jamicon-WL</v>
      </c>
      <c r="P685" s="12" t="str">
        <f t="shared" si="121"/>
        <v>Jamicon R-10.0x13.0</v>
      </c>
      <c r="Q685" s="12" t="str">
        <f t="shared" si="127"/>
        <v>1000µF</v>
      </c>
      <c r="R685" s="12" t="str">
        <f t="shared" si="128"/>
        <v>6.3v</v>
      </c>
      <c r="S685" s="8" t="str">
        <f t="shared" si="122"/>
        <v>1000µF 6.3v - R10.0-12.5 Jamicon (WL)</v>
      </c>
      <c r="T685" s="8">
        <f t="shared" si="129"/>
        <v>1</v>
      </c>
      <c r="U685" s="8" t="b">
        <f>NOT(ISNA(MATCH($P685,Packages!$A:$A,0)))</f>
        <v>1</v>
      </c>
    </row>
    <row r="686" spans="1:21" hidden="1">
      <c r="A686" s="6" t="s">
        <v>47</v>
      </c>
      <c r="B686" s="6" t="s">
        <v>53</v>
      </c>
      <c r="C686" s="33">
        <v>1200</v>
      </c>
      <c r="D686" s="34">
        <v>6.3</v>
      </c>
      <c r="E686" s="6" t="s">
        <v>121</v>
      </c>
      <c r="F686" s="6" t="s">
        <v>59</v>
      </c>
      <c r="G686" s="6"/>
      <c r="H686" s="7" t="s">
        <v>141</v>
      </c>
      <c r="I686" s="7" t="str">
        <f t="shared" si="133"/>
        <v>JAMICON</v>
      </c>
      <c r="J686" s="7" t="str">
        <f t="shared" si="134"/>
        <v>1200µF 6.3v</v>
      </c>
      <c r="K686" s="7"/>
      <c r="L686" s="7" t="str">
        <f t="shared" si="132"/>
        <v>WL</v>
      </c>
      <c r="M686" s="31">
        <f t="shared" si="124"/>
        <v>8</v>
      </c>
      <c r="N686" s="31">
        <f t="shared" si="125"/>
        <v>20</v>
      </c>
      <c r="O686" s="8" t="str">
        <f t="shared" si="126"/>
        <v>Jamicon-WL</v>
      </c>
      <c r="P686" s="12" t="str">
        <f t="shared" si="121"/>
        <v>Jamicon R-08.0x20.0</v>
      </c>
      <c r="Q686" s="12" t="str">
        <f t="shared" si="127"/>
        <v>1200µF</v>
      </c>
      <c r="R686" s="12" t="str">
        <f t="shared" si="128"/>
        <v>6.3v</v>
      </c>
      <c r="S686" s="8" t="str">
        <f t="shared" si="122"/>
        <v>1200µF 6.3v - R08.0-20.0 Jamicon (WL)</v>
      </c>
      <c r="T686" s="8">
        <f t="shared" si="129"/>
        <v>1</v>
      </c>
      <c r="U686" s="8" t="b">
        <f>NOT(ISNA(MATCH($P686,Packages!$A:$A,0)))</f>
        <v>1</v>
      </c>
    </row>
    <row r="687" spans="1:21" hidden="1">
      <c r="A687" s="6" t="s">
        <v>47</v>
      </c>
      <c r="B687" s="6" t="s">
        <v>53</v>
      </c>
      <c r="C687" s="33">
        <v>1200</v>
      </c>
      <c r="D687" s="34">
        <v>6.3</v>
      </c>
      <c r="E687" s="6" t="s">
        <v>74</v>
      </c>
      <c r="F687" s="6" t="s">
        <v>59</v>
      </c>
      <c r="G687" s="6"/>
      <c r="H687" s="7" t="s">
        <v>141</v>
      </c>
      <c r="I687" s="7" t="str">
        <f t="shared" si="133"/>
        <v>JAMICON</v>
      </c>
      <c r="J687" s="7" t="str">
        <f t="shared" si="134"/>
        <v>1200µF 6.3v</v>
      </c>
      <c r="K687" s="7"/>
      <c r="L687" s="7" t="str">
        <f t="shared" si="132"/>
        <v>WL</v>
      </c>
      <c r="M687" s="31">
        <f t="shared" si="124"/>
        <v>10</v>
      </c>
      <c r="N687" s="31">
        <f t="shared" si="125"/>
        <v>16</v>
      </c>
      <c r="O687" s="8" t="str">
        <f t="shared" si="126"/>
        <v>Jamicon-WL</v>
      </c>
      <c r="P687" s="12" t="str">
        <f t="shared" si="121"/>
        <v>Jamicon R-10.0x16.0</v>
      </c>
      <c r="Q687" s="12" t="str">
        <f t="shared" si="127"/>
        <v>1200µF</v>
      </c>
      <c r="R687" s="12" t="str">
        <f t="shared" si="128"/>
        <v>6.3v</v>
      </c>
      <c r="S687" s="8" t="str">
        <f t="shared" si="122"/>
        <v>1200µF 6.3v - R10.0-16.0 Jamicon (WL)</v>
      </c>
      <c r="T687" s="8">
        <f t="shared" si="129"/>
        <v>1</v>
      </c>
      <c r="U687" s="8" t="b">
        <f>NOT(ISNA(MATCH($P687,Packages!$A:$A,0)))</f>
        <v>1</v>
      </c>
    </row>
    <row r="688" spans="1:21" hidden="1">
      <c r="A688" s="6" t="s">
        <v>47</v>
      </c>
      <c r="B688" s="6" t="s">
        <v>53</v>
      </c>
      <c r="C688" s="33">
        <v>1500</v>
      </c>
      <c r="D688" s="34">
        <v>6.3</v>
      </c>
      <c r="E688" s="6" t="s">
        <v>94</v>
      </c>
      <c r="F688" s="6" t="s">
        <v>59</v>
      </c>
      <c r="G688" s="6"/>
      <c r="H688" s="7" t="s">
        <v>141</v>
      </c>
      <c r="I688" s="7" t="str">
        <f t="shared" si="133"/>
        <v>JAMICON</v>
      </c>
      <c r="J688" s="7" t="str">
        <f t="shared" si="134"/>
        <v>1500µF 6.3v</v>
      </c>
      <c r="K688" s="7"/>
      <c r="L688" s="7" t="str">
        <f t="shared" si="132"/>
        <v>WL</v>
      </c>
      <c r="M688" s="31">
        <f t="shared" si="124"/>
        <v>10</v>
      </c>
      <c r="N688" s="31">
        <f t="shared" si="125"/>
        <v>20</v>
      </c>
      <c r="O688" s="8" t="str">
        <f t="shared" si="126"/>
        <v>Jamicon-WL</v>
      </c>
      <c r="P688" s="12" t="str">
        <f t="shared" si="121"/>
        <v>Jamicon R-10.0x20.0</v>
      </c>
      <c r="Q688" s="12" t="str">
        <f t="shared" si="127"/>
        <v>1500µF</v>
      </c>
      <c r="R688" s="12" t="str">
        <f t="shared" si="128"/>
        <v>6.3v</v>
      </c>
      <c r="S688" s="8" t="str">
        <f t="shared" si="122"/>
        <v>1500µF 6.3v - R10.0-20.0 Jamicon (WL)</v>
      </c>
      <c r="T688" s="8">
        <f t="shared" si="129"/>
        <v>1</v>
      </c>
      <c r="U688" s="8" t="b">
        <f>NOT(ISNA(MATCH($P688,Packages!$A:$A,0)))</f>
        <v>1</v>
      </c>
    </row>
    <row r="689" spans="1:21" hidden="1">
      <c r="A689" s="6" t="s">
        <v>47</v>
      </c>
      <c r="B689" s="6" t="s">
        <v>53</v>
      </c>
      <c r="C689" s="33">
        <v>1500</v>
      </c>
      <c r="D689" s="34">
        <v>6.3</v>
      </c>
      <c r="E689" s="6" t="s">
        <v>122</v>
      </c>
      <c r="F689" s="6" t="s">
        <v>59</v>
      </c>
      <c r="G689" s="6"/>
      <c r="H689" s="7" t="s">
        <v>141</v>
      </c>
      <c r="I689" s="7" t="str">
        <f t="shared" si="133"/>
        <v>JAMICON</v>
      </c>
      <c r="J689" s="7" t="str">
        <f t="shared" si="134"/>
        <v>1500µF 6.3v</v>
      </c>
      <c r="K689" s="7"/>
      <c r="L689" s="7" t="str">
        <f t="shared" si="132"/>
        <v>WL</v>
      </c>
      <c r="M689" s="31">
        <f t="shared" si="124"/>
        <v>12.5</v>
      </c>
      <c r="N689" s="31">
        <f t="shared" si="125"/>
        <v>15</v>
      </c>
      <c r="O689" s="8" t="str">
        <f t="shared" si="126"/>
        <v>Jamicon-WL</v>
      </c>
      <c r="P689" s="12" t="str">
        <f t="shared" si="121"/>
        <v>Jamicon R-13.0x15.0</v>
      </c>
      <c r="Q689" s="12" t="str">
        <f t="shared" si="127"/>
        <v>1500µF</v>
      </c>
      <c r="R689" s="12" t="str">
        <f t="shared" si="128"/>
        <v>6.3v</v>
      </c>
      <c r="S689" s="8" t="str">
        <f t="shared" si="122"/>
        <v>1500µF 6.3v - R12.5-15.0 Jamicon (WL)</v>
      </c>
      <c r="T689" s="8">
        <f t="shared" si="129"/>
        <v>1</v>
      </c>
      <c r="U689" s="8" t="b">
        <f>NOT(ISNA(MATCH($P689,Packages!$A:$A,0)))</f>
        <v>1</v>
      </c>
    </row>
    <row r="690" spans="1:21" hidden="1">
      <c r="A690" s="6" t="s">
        <v>47</v>
      </c>
      <c r="B690" s="6" t="s">
        <v>53</v>
      </c>
      <c r="C690" s="33">
        <v>1800</v>
      </c>
      <c r="D690" s="34">
        <v>6.3</v>
      </c>
      <c r="E690" s="6" t="s">
        <v>94</v>
      </c>
      <c r="F690" s="6" t="s">
        <v>59</v>
      </c>
      <c r="G690" s="6"/>
      <c r="H690" s="7" t="s">
        <v>141</v>
      </c>
      <c r="I690" s="7" t="str">
        <f t="shared" si="133"/>
        <v>JAMICON</v>
      </c>
      <c r="J690" s="7" t="str">
        <f t="shared" si="134"/>
        <v>1800µF 6.3v</v>
      </c>
      <c r="K690" s="7"/>
      <c r="L690" s="7" t="str">
        <f t="shared" si="132"/>
        <v>WL</v>
      </c>
      <c r="M690" s="31">
        <f t="shared" si="124"/>
        <v>10</v>
      </c>
      <c r="N690" s="31">
        <f t="shared" si="125"/>
        <v>20</v>
      </c>
      <c r="O690" s="8" t="str">
        <f t="shared" si="126"/>
        <v>Jamicon-WL</v>
      </c>
      <c r="P690" s="12" t="str">
        <f t="shared" si="121"/>
        <v>Jamicon R-10.0x20.0</v>
      </c>
      <c r="Q690" s="12" t="str">
        <f t="shared" si="127"/>
        <v>1800µF</v>
      </c>
      <c r="R690" s="12" t="str">
        <f t="shared" si="128"/>
        <v>6.3v</v>
      </c>
      <c r="S690" s="8" t="str">
        <f t="shared" si="122"/>
        <v>1800µF 6.3v - R10.0-20.0 Jamicon (WL)</v>
      </c>
      <c r="T690" s="8">
        <f t="shared" si="129"/>
        <v>1</v>
      </c>
      <c r="U690" s="8" t="b">
        <f>NOT(ISNA(MATCH($P690,Packages!$A:$A,0)))</f>
        <v>1</v>
      </c>
    </row>
    <row r="691" spans="1:21" hidden="1">
      <c r="A691" s="6" t="s">
        <v>47</v>
      </c>
      <c r="B691" s="6" t="s">
        <v>53</v>
      </c>
      <c r="C691" s="33">
        <v>1800</v>
      </c>
      <c r="D691" s="34">
        <v>6.3</v>
      </c>
      <c r="E691" s="6" t="s">
        <v>122</v>
      </c>
      <c r="F691" s="6" t="s">
        <v>59</v>
      </c>
      <c r="G691" s="6"/>
      <c r="H691" s="7" t="s">
        <v>141</v>
      </c>
      <c r="I691" s="7" t="str">
        <f t="shared" si="133"/>
        <v>JAMICON</v>
      </c>
      <c r="J691" s="7" t="str">
        <f t="shared" si="134"/>
        <v>1800µF 6.3v</v>
      </c>
      <c r="K691" s="7"/>
      <c r="L691" s="7" t="str">
        <f t="shared" si="132"/>
        <v>WL</v>
      </c>
      <c r="M691" s="31">
        <f t="shared" si="124"/>
        <v>12.5</v>
      </c>
      <c r="N691" s="31">
        <f t="shared" si="125"/>
        <v>15</v>
      </c>
      <c r="O691" s="8" t="str">
        <f t="shared" si="126"/>
        <v>Jamicon-WL</v>
      </c>
      <c r="P691" s="12" t="str">
        <f t="shared" si="121"/>
        <v>Jamicon R-13.0x15.0</v>
      </c>
      <c r="Q691" s="12" t="str">
        <f t="shared" si="127"/>
        <v>1800µF</v>
      </c>
      <c r="R691" s="12" t="str">
        <f t="shared" si="128"/>
        <v>6.3v</v>
      </c>
      <c r="S691" s="8" t="str">
        <f t="shared" si="122"/>
        <v>1800µF 6.3v - R12.5-15.0 Jamicon (WL)</v>
      </c>
      <c r="T691" s="8">
        <f t="shared" si="129"/>
        <v>1</v>
      </c>
      <c r="U691" s="8" t="b">
        <f>NOT(ISNA(MATCH($P691,Packages!$A:$A,0)))</f>
        <v>1</v>
      </c>
    </row>
    <row r="692" spans="1:21" hidden="1">
      <c r="A692" s="6" t="s">
        <v>47</v>
      </c>
      <c r="B692" s="6" t="s">
        <v>53</v>
      </c>
      <c r="C692" s="33">
        <v>2200</v>
      </c>
      <c r="D692" s="34">
        <v>6.3</v>
      </c>
      <c r="E692" s="6" t="s">
        <v>123</v>
      </c>
      <c r="F692" s="6" t="s">
        <v>59</v>
      </c>
      <c r="G692" s="6"/>
      <c r="H692" s="7" t="s">
        <v>141</v>
      </c>
      <c r="I692" s="7" t="str">
        <f t="shared" si="133"/>
        <v>JAMICON</v>
      </c>
      <c r="J692" s="7" t="str">
        <f t="shared" si="134"/>
        <v>2200µF 6.3v</v>
      </c>
      <c r="K692" s="7"/>
      <c r="L692" s="7" t="str">
        <f t="shared" si="132"/>
        <v>WL</v>
      </c>
      <c r="M692" s="31">
        <f t="shared" si="124"/>
        <v>10</v>
      </c>
      <c r="N692" s="31">
        <f t="shared" si="125"/>
        <v>25</v>
      </c>
      <c r="O692" s="8" t="str">
        <f t="shared" si="126"/>
        <v>Jamicon-WL</v>
      </c>
      <c r="P692" s="12" t="str">
        <f t="shared" si="121"/>
        <v>Jamicon R-10.0x25.0</v>
      </c>
      <c r="Q692" s="12" t="str">
        <f t="shared" si="127"/>
        <v>2200µF</v>
      </c>
      <c r="R692" s="12" t="str">
        <f t="shared" si="128"/>
        <v>6.3v</v>
      </c>
      <c r="S692" s="8" t="str">
        <f t="shared" si="122"/>
        <v>2200µF 6.3v - R10.0-25.0 Jamicon (WL)</v>
      </c>
      <c r="T692" s="8">
        <f t="shared" si="129"/>
        <v>1</v>
      </c>
      <c r="U692" s="8" t="b">
        <f>NOT(ISNA(MATCH($P692,Packages!$A:$A,0)))</f>
        <v>1</v>
      </c>
    </row>
    <row r="693" spans="1:21" hidden="1">
      <c r="A693" s="6" t="s">
        <v>47</v>
      </c>
      <c r="B693" s="6" t="s">
        <v>53</v>
      </c>
      <c r="C693" s="33">
        <v>2200</v>
      </c>
      <c r="D693" s="34">
        <v>6.3</v>
      </c>
      <c r="E693" s="6" t="s">
        <v>124</v>
      </c>
      <c r="F693" s="6" t="s">
        <v>59</v>
      </c>
      <c r="G693" s="6"/>
      <c r="H693" s="7" t="s">
        <v>141</v>
      </c>
      <c r="I693" s="7" t="str">
        <f t="shared" si="133"/>
        <v>JAMICON</v>
      </c>
      <c r="J693" s="7" t="str">
        <f t="shared" si="134"/>
        <v>2200µF 6.3v</v>
      </c>
      <c r="K693" s="7"/>
      <c r="L693" s="7" t="str">
        <f t="shared" si="132"/>
        <v>WL</v>
      </c>
      <c r="M693" s="31">
        <f t="shared" si="124"/>
        <v>12.5</v>
      </c>
      <c r="N693" s="31">
        <f t="shared" si="125"/>
        <v>18</v>
      </c>
      <c r="O693" s="8" t="str">
        <f t="shared" si="126"/>
        <v>Jamicon-WL</v>
      </c>
      <c r="P693" s="12" t="str">
        <f t="shared" si="121"/>
        <v>Jamicon R-13.0x18.0</v>
      </c>
      <c r="Q693" s="12" t="str">
        <f t="shared" si="127"/>
        <v>2200µF</v>
      </c>
      <c r="R693" s="12" t="str">
        <f t="shared" si="128"/>
        <v>6.3v</v>
      </c>
      <c r="S693" s="8" t="str">
        <f t="shared" si="122"/>
        <v>2200µF 6.3v - R12.5-18.0 Jamicon (WL)</v>
      </c>
      <c r="T693" s="8">
        <f t="shared" si="129"/>
        <v>1</v>
      </c>
      <c r="U693" s="8" t="b">
        <f>NOT(ISNA(MATCH($P693,Packages!$A:$A,0)))</f>
        <v>1</v>
      </c>
    </row>
    <row r="694" spans="1:21" hidden="1">
      <c r="A694" s="6" t="s">
        <v>47</v>
      </c>
      <c r="B694" s="6" t="s">
        <v>53</v>
      </c>
      <c r="C694" s="33">
        <v>2700</v>
      </c>
      <c r="D694" s="34">
        <v>6.3</v>
      </c>
      <c r="E694" s="6" t="s">
        <v>125</v>
      </c>
      <c r="F694" s="6" t="s">
        <v>59</v>
      </c>
      <c r="G694" s="6"/>
      <c r="H694" s="7" t="s">
        <v>141</v>
      </c>
      <c r="I694" s="7" t="str">
        <f t="shared" si="133"/>
        <v>JAMICON</v>
      </c>
      <c r="J694" s="7" t="str">
        <f t="shared" si="134"/>
        <v>2700µF 6.3v</v>
      </c>
      <c r="K694" s="7"/>
      <c r="L694" s="7" t="str">
        <f t="shared" si="132"/>
        <v>WL</v>
      </c>
      <c r="M694" s="31">
        <f t="shared" si="124"/>
        <v>10</v>
      </c>
      <c r="N694" s="31">
        <f t="shared" si="125"/>
        <v>28</v>
      </c>
      <c r="O694" s="8" t="str">
        <f t="shared" si="126"/>
        <v>Jamicon-WL</v>
      </c>
      <c r="P694" s="12" t="str">
        <f t="shared" si="121"/>
        <v>Jamicon R-10.0x28.0</v>
      </c>
      <c r="Q694" s="12" t="str">
        <f t="shared" si="127"/>
        <v>2700µF</v>
      </c>
      <c r="R694" s="12" t="str">
        <f t="shared" si="128"/>
        <v>6.3v</v>
      </c>
      <c r="S694" s="8" t="str">
        <f t="shared" si="122"/>
        <v>2700µF 6.3v - R10.0-28.0 Jamicon (WL)</v>
      </c>
      <c r="T694" s="8">
        <f t="shared" si="129"/>
        <v>1</v>
      </c>
      <c r="U694" s="8" t="b">
        <f>NOT(ISNA(MATCH($P694,Packages!$A:$A,0)))</f>
        <v>1</v>
      </c>
    </row>
    <row r="695" spans="1:21" hidden="1">
      <c r="A695" s="6" t="s">
        <v>47</v>
      </c>
      <c r="B695" s="6" t="s">
        <v>53</v>
      </c>
      <c r="C695" s="33">
        <v>2700</v>
      </c>
      <c r="D695" s="34">
        <v>6.3</v>
      </c>
      <c r="E695" s="6" t="s">
        <v>126</v>
      </c>
      <c r="F695" s="6" t="s">
        <v>59</v>
      </c>
      <c r="G695" s="6"/>
      <c r="H695" s="7" t="s">
        <v>141</v>
      </c>
      <c r="I695" s="7" t="str">
        <f t="shared" si="133"/>
        <v>JAMICON</v>
      </c>
      <c r="J695" s="7" t="str">
        <f t="shared" si="134"/>
        <v>2700µF 6.3v</v>
      </c>
      <c r="K695" s="7"/>
      <c r="L695" s="7" t="str">
        <f t="shared" si="132"/>
        <v>WL</v>
      </c>
      <c r="M695" s="31">
        <f t="shared" si="124"/>
        <v>16</v>
      </c>
      <c r="N695" s="31">
        <f t="shared" si="125"/>
        <v>15</v>
      </c>
      <c r="O695" s="8" t="str">
        <f t="shared" si="126"/>
        <v>Jamicon-WL</v>
      </c>
      <c r="P695" s="12" t="str">
        <f t="shared" si="121"/>
        <v>Jamicon R-16.0x15.0</v>
      </c>
      <c r="Q695" s="12" t="str">
        <f t="shared" si="127"/>
        <v>2700µF</v>
      </c>
      <c r="R695" s="12" t="str">
        <f t="shared" si="128"/>
        <v>6.3v</v>
      </c>
      <c r="S695" s="8" t="str">
        <f t="shared" si="122"/>
        <v>2700µF 6.3v - R16.0-15.0 Jamicon (WL)</v>
      </c>
      <c r="T695" s="8">
        <f t="shared" si="129"/>
        <v>1</v>
      </c>
      <c r="U695" s="8" t="b">
        <f>NOT(ISNA(MATCH($P695,Packages!$A:$A,0)))</f>
        <v>1</v>
      </c>
    </row>
    <row r="696" spans="1:21" hidden="1">
      <c r="A696" s="6" t="s">
        <v>47</v>
      </c>
      <c r="B696" s="6" t="s">
        <v>53</v>
      </c>
      <c r="C696" s="33">
        <v>3300</v>
      </c>
      <c r="D696" s="34">
        <v>6.3</v>
      </c>
      <c r="E696" s="6" t="s">
        <v>95</v>
      </c>
      <c r="F696" s="6" t="s">
        <v>59</v>
      </c>
      <c r="G696" s="6"/>
      <c r="H696" s="7" t="s">
        <v>141</v>
      </c>
      <c r="I696" s="7" t="str">
        <f t="shared" si="133"/>
        <v>JAMICON</v>
      </c>
      <c r="J696" s="7" t="str">
        <f t="shared" si="134"/>
        <v>3300µF 6.3v</v>
      </c>
      <c r="K696" s="7"/>
      <c r="L696" s="7" t="str">
        <f t="shared" si="132"/>
        <v>WL</v>
      </c>
      <c r="M696" s="31">
        <f t="shared" si="124"/>
        <v>12.5</v>
      </c>
      <c r="N696" s="31">
        <f t="shared" si="125"/>
        <v>20</v>
      </c>
      <c r="O696" s="8" t="str">
        <f t="shared" si="126"/>
        <v>Jamicon-WL</v>
      </c>
      <c r="P696" s="12" t="str">
        <f t="shared" si="121"/>
        <v>Jamicon R-13.0x20.0</v>
      </c>
      <c r="Q696" s="12" t="str">
        <f t="shared" si="127"/>
        <v>3300µF</v>
      </c>
      <c r="R696" s="12" t="str">
        <f t="shared" si="128"/>
        <v>6.3v</v>
      </c>
      <c r="S696" s="8" t="str">
        <f t="shared" si="122"/>
        <v>3300µF 6.3v - R12.5-20.0 Jamicon (WL)</v>
      </c>
      <c r="T696" s="8">
        <f t="shared" si="129"/>
        <v>1</v>
      </c>
      <c r="U696" s="8" t="b">
        <f>NOT(ISNA(MATCH($P696,Packages!$A:$A,0)))</f>
        <v>1</v>
      </c>
    </row>
    <row r="697" spans="1:21" hidden="1">
      <c r="A697" s="6" t="s">
        <v>47</v>
      </c>
      <c r="B697" s="6" t="s">
        <v>53</v>
      </c>
      <c r="C697" s="33">
        <v>3300</v>
      </c>
      <c r="D697" s="34">
        <v>6.3</v>
      </c>
      <c r="E697" s="6" t="s">
        <v>126</v>
      </c>
      <c r="F697" s="6" t="s">
        <v>59</v>
      </c>
      <c r="G697" s="6"/>
      <c r="H697" s="7" t="s">
        <v>141</v>
      </c>
      <c r="I697" s="7" t="str">
        <f t="shared" si="133"/>
        <v>JAMICON</v>
      </c>
      <c r="J697" s="7" t="str">
        <f t="shared" si="134"/>
        <v>3300µF 6.3v</v>
      </c>
      <c r="K697" s="7"/>
      <c r="L697" s="7" t="str">
        <f t="shared" si="132"/>
        <v>WL</v>
      </c>
      <c r="M697" s="31">
        <f t="shared" si="124"/>
        <v>16</v>
      </c>
      <c r="N697" s="31">
        <f t="shared" si="125"/>
        <v>15</v>
      </c>
      <c r="O697" s="8" t="str">
        <f t="shared" si="126"/>
        <v>Jamicon-WL</v>
      </c>
      <c r="P697" s="12" t="str">
        <f t="shared" si="121"/>
        <v>Jamicon R-16.0x15.0</v>
      </c>
      <c r="Q697" s="12" t="str">
        <f t="shared" si="127"/>
        <v>3300µF</v>
      </c>
      <c r="R697" s="12" t="str">
        <f t="shared" si="128"/>
        <v>6.3v</v>
      </c>
      <c r="S697" s="8" t="str">
        <f t="shared" si="122"/>
        <v>3300µF 6.3v - R16.0-15.0 Jamicon (WL)</v>
      </c>
      <c r="T697" s="8">
        <f t="shared" si="129"/>
        <v>1</v>
      </c>
      <c r="U697" s="8" t="b">
        <f>NOT(ISNA(MATCH($P697,Packages!$A:$A,0)))</f>
        <v>1</v>
      </c>
    </row>
    <row r="698" spans="1:21" hidden="1">
      <c r="A698" s="6" t="s">
        <v>47</v>
      </c>
      <c r="B698" s="6" t="s">
        <v>53</v>
      </c>
      <c r="C698" s="33">
        <v>3900</v>
      </c>
      <c r="D698" s="34">
        <v>6.3</v>
      </c>
      <c r="E698" s="6" t="s">
        <v>96</v>
      </c>
      <c r="F698" s="6" t="s">
        <v>59</v>
      </c>
      <c r="G698" s="6"/>
      <c r="H698" s="7" t="s">
        <v>141</v>
      </c>
      <c r="I698" s="7" t="str">
        <f t="shared" si="133"/>
        <v>JAMICON</v>
      </c>
      <c r="J698" s="7" t="str">
        <f t="shared" si="134"/>
        <v>3900µF 6.3v</v>
      </c>
      <c r="K698" s="7"/>
      <c r="L698" s="7" t="str">
        <f t="shared" si="132"/>
        <v>WL</v>
      </c>
      <c r="M698" s="31">
        <f t="shared" si="124"/>
        <v>12.5</v>
      </c>
      <c r="N698" s="31">
        <f t="shared" si="125"/>
        <v>25</v>
      </c>
      <c r="O698" s="8" t="str">
        <f t="shared" si="126"/>
        <v>Jamicon-WL</v>
      </c>
      <c r="P698" s="12" t="str">
        <f t="shared" si="121"/>
        <v>Jamicon R-13.0x25.0</v>
      </c>
      <c r="Q698" s="12" t="str">
        <f t="shared" si="127"/>
        <v>3900µF</v>
      </c>
      <c r="R698" s="12" t="str">
        <f t="shared" si="128"/>
        <v>6.3v</v>
      </c>
      <c r="S698" s="8" t="str">
        <f t="shared" si="122"/>
        <v>3900µF 6.3v - R12.5-25.0 Jamicon (WL)</v>
      </c>
      <c r="T698" s="8">
        <f t="shared" si="129"/>
        <v>1</v>
      </c>
      <c r="U698" s="8" t="b">
        <f>NOT(ISNA(MATCH($P698,Packages!$A:$A,0)))</f>
        <v>1</v>
      </c>
    </row>
    <row r="699" spans="1:21" hidden="1">
      <c r="A699" s="6" t="s">
        <v>47</v>
      </c>
      <c r="B699" s="6" t="s">
        <v>53</v>
      </c>
      <c r="C699" s="33">
        <v>3900</v>
      </c>
      <c r="D699" s="34">
        <v>6.3</v>
      </c>
      <c r="E699" s="6" t="s">
        <v>127</v>
      </c>
      <c r="F699" s="6" t="s">
        <v>59</v>
      </c>
      <c r="G699" s="6"/>
      <c r="H699" s="7" t="s">
        <v>141</v>
      </c>
      <c r="I699" s="7" t="str">
        <f t="shared" si="133"/>
        <v>JAMICON</v>
      </c>
      <c r="J699" s="7" t="str">
        <f t="shared" si="134"/>
        <v>3900µF 6.3v</v>
      </c>
      <c r="K699" s="7"/>
      <c r="L699" s="7" t="str">
        <f t="shared" si="132"/>
        <v>WL</v>
      </c>
      <c r="M699" s="31">
        <f t="shared" si="124"/>
        <v>18</v>
      </c>
      <c r="N699" s="31">
        <f t="shared" si="125"/>
        <v>15</v>
      </c>
      <c r="O699" s="8" t="str">
        <f t="shared" si="126"/>
        <v>Jamicon-WL</v>
      </c>
      <c r="P699" s="12" t="str">
        <f t="shared" si="121"/>
        <v>Jamicon R-18.0x15.0</v>
      </c>
      <c r="Q699" s="12" t="str">
        <f t="shared" si="127"/>
        <v>3900µF</v>
      </c>
      <c r="R699" s="12" t="str">
        <f t="shared" si="128"/>
        <v>6.3v</v>
      </c>
      <c r="S699" s="8" t="str">
        <f t="shared" si="122"/>
        <v>3900µF 6.3v - R18.0-15.0 Jamicon (WL)</v>
      </c>
      <c r="T699" s="8">
        <f t="shared" si="129"/>
        <v>1</v>
      </c>
      <c r="U699" s="8" t="b">
        <f>NOT(ISNA(MATCH($P699,Packages!$A:$A,0)))</f>
        <v>1</v>
      </c>
    </row>
    <row r="700" spans="1:21" hidden="1">
      <c r="A700" s="6" t="s">
        <v>47</v>
      </c>
      <c r="B700" s="6" t="s">
        <v>53</v>
      </c>
      <c r="C700" s="33">
        <v>4700</v>
      </c>
      <c r="D700" s="34">
        <v>6.3</v>
      </c>
      <c r="E700" s="6" t="s">
        <v>128</v>
      </c>
      <c r="F700" s="6" t="s">
        <v>59</v>
      </c>
      <c r="G700" s="6"/>
      <c r="H700" s="7" t="s">
        <v>141</v>
      </c>
      <c r="I700" s="7" t="str">
        <f t="shared" si="133"/>
        <v>JAMICON</v>
      </c>
      <c r="J700" s="7" t="str">
        <f t="shared" si="134"/>
        <v>4700µF 6.3v</v>
      </c>
      <c r="K700" s="7"/>
      <c r="L700" s="7" t="str">
        <f t="shared" si="132"/>
        <v>WL</v>
      </c>
      <c r="M700" s="31">
        <f t="shared" si="124"/>
        <v>12.5</v>
      </c>
      <c r="N700" s="31">
        <f t="shared" si="125"/>
        <v>30</v>
      </c>
      <c r="O700" s="8" t="str">
        <f t="shared" si="126"/>
        <v>Jamicon-WL</v>
      </c>
      <c r="P700" s="12" t="str">
        <f t="shared" si="121"/>
        <v>Jamicon R-13.0x30.0</v>
      </c>
      <c r="Q700" s="12" t="str">
        <f t="shared" si="127"/>
        <v>4700µF</v>
      </c>
      <c r="R700" s="12" t="str">
        <f t="shared" si="128"/>
        <v>6.3v</v>
      </c>
      <c r="S700" s="8" t="str">
        <f t="shared" si="122"/>
        <v>4700µF 6.3v - R12.5-30.0 Jamicon (WL)</v>
      </c>
      <c r="T700" s="8">
        <f t="shared" si="129"/>
        <v>1</v>
      </c>
      <c r="U700" s="8" t="b">
        <f>NOT(ISNA(MATCH($P700,Packages!$A:$A,0)))</f>
        <v>1</v>
      </c>
    </row>
    <row r="701" spans="1:21" hidden="1">
      <c r="A701" s="6" t="s">
        <v>47</v>
      </c>
      <c r="B701" s="6" t="s">
        <v>53</v>
      </c>
      <c r="C701" s="33">
        <v>4700</v>
      </c>
      <c r="D701" s="34">
        <v>6.3</v>
      </c>
      <c r="E701" s="6" t="s">
        <v>129</v>
      </c>
      <c r="F701" s="6" t="s">
        <v>59</v>
      </c>
      <c r="G701" s="6"/>
      <c r="H701" s="7" t="s">
        <v>141</v>
      </c>
      <c r="I701" s="7" t="str">
        <f t="shared" si="133"/>
        <v>JAMICON</v>
      </c>
      <c r="J701" s="7" t="str">
        <f t="shared" si="134"/>
        <v>4700µF 6.3v</v>
      </c>
      <c r="K701" s="7"/>
      <c r="L701" s="7" t="str">
        <f t="shared" si="132"/>
        <v>WL</v>
      </c>
      <c r="M701" s="31">
        <f t="shared" si="124"/>
        <v>16</v>
      </c>
      <c r="N701" s="31">
        <f t="shared" si="125"/>
        <v>20</v>
      </c>
      <c r="O701" s="8" t="str">
        <f t="shared" si="126"/>
        <v>Jamicon-WL</v>
      </c>
      <c r="P701" s="12" t="str">
        <f t="shared" si="121"/>
        <v>Jamicon R-16.0x20.0</v>
      </c>
      <c r="Q701" s="12" t="str">
        <f t="shared" si="127"/>
        <v>4700µF</v>
      </c>
      <c r="R701" s="12" t="str">
        <f t="shared" si="128"/>
        <v>6.3v</v>
      </c>
      <c r="S701" s="8" t="str">
        <f t="shared" si="122"/>
        <v>4700µF 6.3v - R16.0-20.0 Jamicon (WL)</v>
      </c>
      <c r="T701" s="8">
        <f t="shared" si="129"/>
        <v>1</v>
      </c>
      <c r="U701" s="8" t="b">
        <f>NOT(ISNA(MATCH($P701,Packages!$A:$A,0)))</f>
        <v>1</v>
      </c>
    </row>
    <row r="702" spans="1:21" hidden="1">
      <c r="A702" s="6" t="s">
        <v>47</v>
      </c>
      <c r="B702" s="6" t="s">
        <v>53</v>
      </c>
      <c r="C702" s="33">
        <v>5600</v>
      </c>
      <c r="D702" s="34">
        <v>6.3</v>
      </c>
      <c r="E702" s="6" t="s">
        <v>130</v>
      </c>
      <c r="F702" s="6" t="s">
        <v>59</v>
      </c>
      <c r="G702" s="6"/>
      <c r="H702" s="7" t="s">
        <v>141</v>
      </c>
      <c r="I702" s="7" t="str">
        <f t="shared" si="133"/>
        <v>JAMICON</v>
      </c>
      <c r="J702" s="7" t="str">
        <f t="shared" si="134"/>
        <v>5600µF 6.3v</v>
      </c>
      <c r="K702" s="7"/>
      <c r="L702" s="7" t="str">
        <f t="shared" si="132"/>
        <v>WL</v>
      </c>
      <c r="M702" s="31">
        <f t="shared" si="124"/>
        <v>12.5</v>
      </c>
      <c r="N702" s="31">
        <f t="shared" si="125"/>
        <v>35</v>
      </c>
      <c r="O702" s="8" t="str">
        <f t="shared" si="126"/>
        <v>Jamicon-WL</v>
      </c>
      <c r="P702" s="12" t="str">
        <f t="shared" si="121"/>
        <v>Jamicon R-13.0x35.0</v>
      </c>
      <c r="Q702" s="12" t="str">
        <f t="shared" si="127"/>
        <v>5600µF</v>
      </c>
      <c r="R702" s="12" t="str">
        <f t="shared" si="128"/>
        <v>6.3v</v>
      </c>
      <c r="S702" s="8" t="str">
        <f t="shared" si="122"/>
        <v>5600µF 6.3v - R12.5-35.0 Jamicon (WL)</v>
      </c>
      <c r="T702" s="8">
        <f t="shared" si="129"/>
        <v>1</v>
      </c>
      <c r="U702" s="8" t="b">
        <f>NOT(ISNA(MATCH($P702,Packages!$A:$A,0)))</f>
        <v>1</v>
      </c>
    </row>
    <row r="703" spans="1:21" hidden="1">
      <c r="A703" s="6" t="s">
        <v>47</v>
      </c>
      <c r="B703" s="6" t="s">
        <v>53</v>
      </c>
      <c r="C703" s="33">
        <v>5600</v>
      </c>
      <c r="D703" s="34">
        <v>6.3</v>
      </c>
      <c r="E703" s="6" t="s">
        <v>97</v>
      </c>
      <c r="F703" s="6" t="s">
        <v>59</v>
      </c>
      <c r="G703" s="6"/>
      <c r="H703" s="7" t="s">
        <v>141</v>
      </c>
      <c r="I703" s="7" t="str">
        <f t="shared" si="133"/>
        <v>JAMICON</v>
      </c>
      <c r="J703" s="7" t="str">
        <f t="shared" si="134"/>
        <v>5600µF 6.3v</v>
      </c>
      <c r="K703" s="7"/>
      <c r="L703" s="7" t="str">
        <f t="shared" si="132"/>
        <v>WL</v>
      </c>
      <c r="M703" s="31">
        <f t="shared" si="124"/>
        <v>16</v>
      </c>
      <c r="N703" s="31">
        <f t="shared" si="125"/>
        <v>25</v>
      </c>
      <c r="O703" s="8" t="str">
        <f t="shared" si="126"/>
        <v>Jamicon-WL</v>
      </c>
      <c r="P703" s="12" t="str">
        <f t="shared" si="121"/>
        <v>Jamicon R-16.0x25.0</v>
      </c>
      <c r="Q703" s="12" t="str">
        <f t="shared" si="127"/>
        <v>5600µF</v>
      </c>
      <c r="R703" s="12" t="str">
        <f t="shared" si="128"/>
        <v>6.3v</v>
      </c>
      <c r="S703" s="8" t="str">
        <f t="shared" si="122"/>
        <v>5600µF 6.3v - R16.0-25.0 Jamicon (WL)</v>
      </c>
      <c r="T703" s="8">
        <f t="shared" si="129"/>
        <v>1</v>
      </c>
      <c r="U703" s="8" t="b">
        <f>NOT(ISNA(MATCH($P703,Packages!$A:$A,0)))</f>
        <v>1</v>
      </c>
    </row>
    <row r="704" spans="1:21" hidden="1">
      <c r="A704" s="6" t="s">
        <v>47</v>
      </c>
      <c r="B704" s="6" t="s">
        <v>53</v>
      </c>
      <c r="C704" s="33">
        <v>6800</v>
      </c>
      <c r="D704" s="34">
        <v>6.3</v>
      </c>
      <c r="E704" s="6" t="s">
        <v>131</v>
      </c>
      <c r="F704" s="6" t="s">
        <v>59</v>
      </c>
      <c r="G704" s="6"/>
      <c r="H704" s="7" t="s">
        <v>141</v>
      </c>
      <c r="I704" s="7" t="str">
        <f t="shared" si="133"/>
        <v>JAMICON</v>
      </c>
      <c r="J704" s="7" t="str">
        <f t="shared" si="134"/>
        <v>6800µF 6.3v</v>
      </c>
      <c r="K704" s="7"/>
      <c r="L704" s="7" t="str">
        <f t="shared" si="132"/>
        <v>WL</v>
      </c>
      <c r="M704" s="31">
        <f t="shared" si="124"/>
        <v>12.5</v>
      </c>
      <c r="N704" s="31">
        <f t="shared" si="125"/>
        <v>40</v>
      </c>
      <c r="O704" s="8" t="str">
        <f t="shared" si="126"/>
        <v>Jamicon-WL</v>
      </c>
      <c r="P704" s="12" t="str">
        <f t="shared" si="121"/>
        <v>Jamicon R-13.0x40.0</v>
      </c>
      <c r="Q704" s="12" t="str">
        <f t="shared" si="127"/>
        <v>6800µF</v>
      </c>
      <c r="R704" s="12" t="str">
        <f t="shared" si="128"/>
        <v>6.3v</v>
      </c>
      <c r="S704" s="8" t="str">
        <f t="shared" si="122"/>
        <v>6800µF 6.3v - R12.5-40.0 Jamicon (WL)</v>
      </c>
      <c r="T704" s="8">
        <f t="shared" si="129"/>
        <v>1</v>
      </c>
      <c r="U704" s="8" t="b">
        <f>NOT(ISNA(MATCH($P704,Packages!$A:$A,0)))</f>
        <v>1</v>
      </c>
    </row>
    <row r="705" spans="1:21" hidden="1">
      <c r="A705" s="6" t="s">
        <v>47</v>
      </c>
      <c r="B705" s="6" t="s">
        <v>53</v>
      </c>
      <c r="C705" s="33">
        <v>6800</v>
      </c>
      <c r="D705" s="34">
        <v>6.3</v>
      </c>
      <c r="E705" s="6" t="s">
        <v>132</v>
      </c>
      <c r="F705" s="6" t="s">
        <v>59</v>
      </c>
      <c r="G705" s="6"/>
      <c r="H705" s="7" t="s">
        <v>141</v>
      </c>
      <c r="I705" s="7" t="str">
        <f t="shared" si="133"/>
        <v>JAMICON</v>
      </c>
      <c r="J705" s="7" t="str">
        <f t="shared" si="134"/>
        <v>6800µF 6.3v</v>
      </c>
      <c r="K705" s="7"/>
      <c r="L705" s="7" t="str">
        <f t="shared" si="132"/>
        <v>WL</v>
      </c>
      <c r="M705" s="31">
        <f t="shared" si="124"/>
        <v>18</v>
      </c>
      <c r="N705" s="31">
        <f t="shared" si="125"/>
        <v>20</v>
      </c>
      <c r="O705" s="8" t="str">
        <f t="shared" si="126"/>
        <v>Jamicon-WL</v>
      </c>
      <c r="P705" s="12" t="str">
        <f t="shared" si="121"/>
        <v>Jamicon R-18.0x20.0</v>
      </c>
      <c r="Q705" s="12" t="str">
        <f t="shared" si="127"/>
        <v>6800µF</v>
      </c>
      <c r="R705" s="12" t="str">
        <f t="shared" si="128"/>
        <v>6.3v</v>
      </c>
      <c r="S705" s="8" t="str">
        <f t="shared" si="122"/>
        <v>6800µF 6.3v - R18.0-20.0 Jamicon (WL)</v>
      </c>
      <c r="T705" s="8">
        <f t="shared" si="129"/>
        <v>1</v>
      </c>
      <c r="U705" s="8" t="b">
        <f>NOT(ISNA(MATCH($P705,Packages!$A:$A,0)))</f>
        <v>1</v>
      </c>
    </row>
    <row r="706" spans="1:21" hidden="1">
      <c r="A706" s="6" t="s">
        <v>47</v>
      </c>
      <c r="B706" s="6" t="s">
        <v>53</v>
      </c>
      <c r="C706" s="33">
        <v>8200</v>
      </c>
      <c r="D706" s="34">
        <v>6.3</v>
      </c>
      <c r="E706" s="6" t="s">
        <v>98</v>
      </c>
      <c r="F706" s="6" t="s">
        <v>59</v>
      </c>
      <c r="G706" s="6"/>
      <c r="H706" s="7" t="s">
        <v>141</v>
      </c>
      <c r="I706" s="7" t="str">
        <f t="shared" si="133"/>
        <v>JAMICON</v>
      </c>
      <c r="J706" s="7" t="str">
        <f t="shared" si="134"/>
        <v>8200µF 6.3v</v>
      </c>
      <c r="K706" s="7"/>
      <c r="L706" s="7" t="str">
        <f t="shared" si="132"/>
        <v>WL</v>
      </c>
      <c r="M706" s="31">
        <f t="shared" si="124"/>
        <v>16</v>
      </c>
      <c r="N706" s="31">
        <f t="shared" si="125"/>
        <v>31.5</v>
      </c>
      <c r="O706" s="8" t="str">
        <f t="shared" si="126"/>
        <v>Jamicon-WL</v>
      </c>
      <c r="P706" s="12" t="str">
        <f t="shared" ref="P706:P769" si="135">$A706&amp;" "&amp;LEFT($F706,1)&amp;"-"&amp;TEXT(ROUND($M706,0),"00.0")&amp;"x"&amp;TEXT(ROUND($N706,0),"00.0")</f>
        <v>Jamicon R-16.0x32.0</v>
      </c>
      <c r="Q706" s="12" t="str">
        <f t="shared" si="127"/>
        <v>8200µF</v>
      </c>
      <c r="R706" s="12" t="str">
        <f t="shared" si="128"/>
        <v>6.3v</v>
      </c>
      <c r="S706" s="8" t="str">
        <f t="shared" ref="S706:S769" si="136">$Q706&amp;" "&amp;$R706&amp;" - "&amp;LEFT($F706,1)&amp;TEXT($M706,"00.0")&amp;"-"&amp;TEXT($N706,"00.0")&amp;" "&amp;A706&amp;" ("&amp;B706&amp;")"&amp;IF(ISBLANK($G706),""," "&amp;$G706)</f>
        <v>8200µF 6.3v - R16.0-31.5 Jamicon (WL)</v>
      </c>
      <c r="T706" s="8">
        <f t="shared" si="129"/>
        <v>1</v>
      </c>
      <c r="U706" s="8" t="b">
        <f>NOT(ISNA(MATCH($P706,Packages!$A:$A,0)))</f>
        <v>1</v>
      </c>
    </row>
    <row r="707" spans="1:21" hidden="1">
      <c r="A707" s="6" t="s">
        <v>47</v>
      </c>
      <c r="B707" s="6" t="s">
        <v>53</v>
      </c>
      <c r="C707" s="33">
        <v>8200</v>
      </c>
      <c r="D707" s="34">
        <v>6.3</v>
      </c>
      <c r="E707" s="6" t="s">
        <v>133</v>
      </c>
      <c r="F707" s="6" t="s">
        <v>59</v>
      </c>
      <c r="G707" s="6"/>
      <c r="H707" s="7" t="s">
        <v>141</v>
      </c>
      <c r="I707" s="7" t="str">
        <f t="shared" si="133"/>
        <v>JAMICON</v>
      </c>
      <c r="J707" s="7" t="str">
        <f t="shared" si="134"/>
        <v>8200µF 6.3v</v>
      </c>
      <c r="K707" s="7"/>
      <c r="L707" s="7" t="str">
        <f t="shared" si="132"/>
        <v>WL</v>
      </c>
      <c r="M707" s="31">
        <f t="shared" ref="M707:M770" si="137">VALUE(LEFT($E707,SEARCH("x",$E707)-1))</f>
        <v>18</v>
      </c>
      <c r="N707" s="31">
        <f t="shared" ref="N707:N770" si="138">VALUE(RIGHT($E707,LEN($E707)-SEARCH("x",$E707)))</f>
        <v>25</v>
      </c>
      <c r="O707" s="8" t="str">
        <f t="shared" ref="O707:O770" si="139">$A707&amp;"-"&amp;$B707</f>
        <v>Jamicon-WL</v>
      </c>
      <c r="P707" s="12" t="str">
        <f t="shared" si="135"/>
        <v>Jamicon R-18.0x25.0</v>
      </c>
      <c r="Q707" s="12" t="str">
        <f t="shared" ref="Q707:Q770" si="140">TEXT($C707,"General"&amp;CHAR(34)&amp;"µF"&amp;CHAR(34))</f>
        <v>8200µF</v>
      </c>
      <c r="R707" s="12" t="str">
        <f t="shared" ref="R707:R770" si="141">TEXT($D707,"General"&amp;CHAR(34)&amp;"v"&amp;CHAR(34))</f>
        <v>6.3v</v>
      </c>
      <c r="S707" s="8" t="str">
        <f t="shared" si="136"/>
        <v>8200µF 6.3v - R18.0-25.0 Jamicon (WL)</v>
      </c>
      <c r="T707" s="8">
        <f t="shared" ref="T707:T770" si="142">COUNTIF($S:$S,$S707)</f>
        <v>1</v>
      </c>
      <c r="U707" s="8" t="b">
        <f>NOT(ISNA(MATCH($P707,Packages!$A:$A,0)))</f>
        <v>1</v>
      </c>
    </row>
    <row r="708" spans="1:21" hidden="1">
      <c r="A708" s="6" t="s">
        <v>47</v>
      </c>
      <c r="B708" s="6" t="s">
        <v>53</v>
      </c>
      <c r="C708" s="33">
        <v>10000</v>
      </c>
      <c r="D708" s="34">
        <v>6.3</v>
      </c>
      <c r="E708" s="6" t="s">
        <v>99</v>
      </c>
      <c r="F708" s="6" t="s">
        <v>59</v>
      </c>
      <c r="G708" s="6"/>
      <c r="H708" s="7" t="s">
        <v>141</v>
      </c>
      <c r="I708" s="7" t="str">
        <f t="shared" si="133"/>
        <v>JAMICON</v>
      </c>
      <c r="J708" s="7" t="str">
        <f t="shared" si="134"/>
        <v>10000µF 6.3v</v>
      </c>
      <c r="K708" s="7"/>
      <c r="L708" s="7" t="str">
        <f t="shared" si="132"/>
        <v>WL</v>
      </c>
      <c r="M708" s="31">
        <f t="shared" si="137"/>
        <v>16</v>
      </c>
      <c r="N708" s="31">
        <f t="shared" si="138"/>
        <v>35.5</v>
      </c>
      <c r="O708" s="8" t="str">
        <f t="shared" si="139"/>
        <v>Jamicon-WL</v>
      </c>
      <c r="P708" s="12" t="str">
        <f t="shared" si="135"/>
        <v>Jamicon R-16.0x36.0</v>
      </c>
      <c r="Q708" s="12" t="str">
        <f t="shared" si="140"/>
        <v>10000µF</v>
      </c>
      <c r="R708" s="12" t="str">
        <f t="shared" si="141"/>
        <v>6.3v</v>
      </c>
      <c r="S708" s="8" t="str">
        <f t="shared" si="136"/>
        <v>10000µF 6.3v - R16.0-35.5 Jamicon (WL)</v>
      </c>
      <c r="T708" s="8">
        <f t="shared" si="142"/>
        <v>1</v>
      </c>
      <c r="U708" s="8" t="b">
        <f>NOT(ISNA(MATCH($P708,Packages!$A:$A,0)))</f>
        <v>1</v>
      </c>
    </row>
    <row r="709" spans="1:21" hidden="1">
      <c r="A709" s="6" t="s">
        <v>47</v>
      </c>
      <c r="B709" s="6" t="s">
        <v>53</v>
      </c>
      <c r="C709" s="33">
        <v>10000</v>
      </c>
      <c r="D709" s="34">
        <v>6.3</v>
      </c>
      <c r="E709" s="6" t="s">
        <v>134</v>
      </c>
      <c r="F709" s="6" t="s">
        <v>59</v>
      </c>
      <c r="G709" s="6"/>
      <c r="H709" s="7" t="s">
        <v>141</v>
      </c>
      <c r="I709" s="7" t="str">
        <f t="shared" si="133"/>
        <v>JAMICON</v>
      </c>
      <c r="J709" s="7" t="str">
        <f t="shared" si="134"/>
        <v>10000µF 6.3v</v>
      </c>
      <c r="K709" s="7"/>
      <c r="L709" s="7" t="str">
        <f t="shared" si="132"/>
        <v>WL</v>
      </c>
      <c r="M709" s="31">
        <f t="shared" si="137"/>
        <v>18</v>
      </c>
      <c r="N709" s="31">
        <f t="shared" si="138"/>
        <v>31.5</v>
      </c>
      <c r="O709" s="8" t="str">
        <f t="shared" si="139"/>
        <v>Jamicon-WL</v>
      </c>
      <c r="P709" s="12" t="str">
        <f t="shared" si="135"/>
        <v>Jamicon R-18.0x32.0</v>
      </c>
      <c r="Q709" s="12" t="str">
        <f t="shared" si="140"/>
        <v>10000µF</v>
      </c>
      <c r="R709" s="12" t="str">
        <f t="shared" si="141"/>
        <v>6.3v</v>
      </c>
      <c r="S709" s="8" t="str">
        <f t="shared" si="136"/>
        <v>10000µF 6.3v - R18.0-31.5 Jamicon (WL)</v>
      </c>
      <c r="T709" s="8">
        <f t="shared" si="142"/>
        <v>1</v>
      </c>
      <c r="U709" s="8" t="b">
        <f>NOT(ISNA(MATCH($P709,Packages!$A:$A,0)))</f>
        <v>1</v>
      </c>
    </row>
    <row r="710" spans="1:21" hidden="1">
      <c r="A710" s="6" t="s">
        <v>47</v>
      </c>
      <c r="B710" s="6" t="s">
        <v>53</v>
      </c>
      <c r="C710" s="33">
        <v>100</v>
      </c>
      <c r="D710" s="34">
        <v>10</v>
      </c>
      <c r="E710" s="6" t="s">
        <v>68</v>
      </c>
      <c r="F710" s="6" t="s">
        <v>59</v>
      </c>
      <c r="G710" s="6"/>
      <c r="H710" s="7" t="s">
        <v>141</v>
      </c>
      <c r="I710" s="7" t="str">
        <f t="shared" si="133"/>
        <v>JAMICON</v>
      </c>
      <c r="J710" s="7" t="str">
        <f t="shared" si="134"/>
        <v>100µF 10v</v>
      </c>
      <c r="K710" s="7"/>
      <c r="L710" s="7" t="str">
        <f t="shared" si="132"/>
        <v>WL</v>
      </c>
      <c r="M710" s="31">
        <f t="shared" si="137"/>
        <v>5</v>
      </c>
      <c r="N710" s="31">
        <f t="shared" si="138"/>
        <v>11</v>
      </c>
      <c r="O710" s="8" t="str">
        <f t="shared" si="139"/>
        <v>Jamicon-WL</v>
      </c>
      <c r="P710" s="12" t="str">
        <f t="shared" si="135"/>
        <v>Jamicon R-05.0x11.0</v>
      </c>
      <c r="Q710" s="12" t="str">
        <f t="shared" si="140"/>
        <v>100µF</v>
      </c>
      <c r="R710" s="12" t="str">
        <f t="shared" si="141"/>
        <v>10v</v>
      </c>
      <c r="S710" s="8" t="str">
        <f t="shared" si="136"/>
        <v>100µF 10v - R05.0-11.0 Jamicon (WL)</v>
      </c>
      <c r="T710" s="8">
        <f t="shared" si="142"/>
        <v>1</v>
      </c>
      <c r="U710" s="8" t="b">
        <f>NOT(ISNA(MATCH($P710,Packages!$A:$A,0)))</f>
        <v>1</v>
      </c>
    </row>
    <row r="711" spans="1:21" hidden="1">
      <c r="A711" s="6" t="s">
        <v>47</v>
      </c>
      <c r="B711" s="6" t="s">
        <v>53</v>
      </c>
      <c r="C711" s="33">
        <v>120</v>
      </c>
      <c r="D711" s="34">
        <v>10</v>
      </c>
      <c r="E711" s="6" t="s">
        <v>68</v>
      </c>
      <c r="F711" s="6" t="s">
        <v>59</v>
      </c>
      <c r="G711" s="6"/>
      <c r="H711" s="7" t="s">
        <v>141</v>
      </c>
      <c r="I711" s="7" t="str">
        <f t="shared" si="133"/>
        <v>JAMICON</v>
      </c>
      <c r="J711" s="7" t="str">
        <f t="shared" si="134"/>
        <v>120µF 10v</v>
      </c>
      <c r="K711" s="7"/>
      <c r="L711" s="7" t="str">
        <f t="shared" si="132"/>
        <v>WL</v>
      </c>
      <c r="M711" s="31">
        <f t="shared" si="137"/>
        <v>5</v>
      </c>
      <c r="N711" s="31">
        <f t="shared" si="138"/>
        <v>11</v>
      </c>
      <c r="O711" s="8" t="str">
        <f t="shared" si="139"/>
        <v>Jamicon-WL</v>
      </c>
      <c r="P711" s="12" t="str">
        <f t="shared" si="135"/>
        <v>Jamicon R-05.0x11.0</v>
      </c>
      <c r="Q711" s="12" t="str">
        <f t="shared" si="140"/>
        <v>120µF</v>
      </c>
      <c r="R711" s="12" t="str">
        <f t="shared" si="141"/>
        <v>10v</v>
      </c>
      <c r="S711" s="8" t="str">
        <f t="shared" si="136"/>
        <v>120µF 10v - R05.0-11.0 Jamicon (WL)</v>
      </c>
      <c r="T711" s="8">
        <f t="shared" si="142"/>
        <v>1</v>
      </c>
      <c r="U711" s="8" t="b">
        <f>NOT(ISNA(MATCH($P711,Packages!$A:$A,0)))</f>
        <v>1</v>
      </c>
    </row>
    <row r="712" spans="1:21" hidden="1">
      <c r="A712" s="6" t="s">
        <v>47</v>
      </c>
      <c r="B712" s="6" t="s">
        <v>53</v>
      </c>
      <c r="C712" s="33">
        <v>150</v>
      </c>
      <c r="D712" s="34">
        <v>10</v>
      </c>
      <c r="E712" s="6" t="s">
        <v>68</v>
      </c>
      <c r="F712" s="6" t="s">
        <v>59</v>
      </c>
      <c r="G712" s="6"/>
      <c r="H712" s="7" t="s">
        <v>141</v>
      </c>
      <c r="I712" s="7" t="str">
        <f t="shared" si="133"/>
        <v>JAMICON</v>
      </c>
      <c r="J712" s="7" t="str">
        <f t="shared" si="134"/>
        <v>150µF 10v</v>
      </c>
      <c r="K712" s="7"/>
      <c r="L712" s="7" t="str">
        <f t="shared" si="132"/>
        <v>WL</v>
      </c>
      <c r="M712" s="31">
        <f t="shared" si="137"/>
        <v>5</v>
      </c>
      <c r="N712" s="31">
        <f t="shared" si="138"/>
        <v>11</v>
      </c>
      <c r="O712" s="8" t="str">
        <f t="shared" si="139"/>
        <v>Jamicon-WL</v>
      </c>
      <c r="P712" s="12" t="str">
        <f t="shared" si="135"/>
        <v>Jamicon R-05.0x11.0</v>
      </c>
      <c r="Q712" s="12" t="str">
        <f t="shared" si="140"/>
        <v>150µF</v>
      </c>
      <c r="R712" s="12" t="str">
        <f t="shared" si="141"/>
        <v>10v</v>
      </c>
      <c r="S712" s="8" t="str">
        <f t="shared" si="136"/>
        <v>150µF 10v - R05.0-11.0 Jamicon (WL)</v>
      </c>
      <c r="T712" s="8">
        <f t="shared" si="142"/>
        <v>1</v>
      </c>
      <c r="U712" s="8" t="b">
        <f>NOT(ISNA(MATCH($P712,Packages!$A:$A,0)))</f>
        <v>1</v>
      </c>
    </row>
    <row r="713" spans="1:21" hidden="1">
      <c r="A713" s="6" t="s">
        <v>47</v>
      </c>
      <c r="B713" s="6" t="s">
        <v>53</v>
      </c>
      <c r="C713" s="33">
        <v>180</v>
      </c>
      <c r="D713" s="34">
        <v>10</v>
      </c>
      <c r="E713" s="6" t="s">
        <v>118</v>
      </c>
      <c r="F713" s="6" t="s">
        <v>59</v>
      </c>
      <c r="G713" s="6"/>
      <c r="H713" s="7" t="s">
        <v>141</v>
      </c>
      <c r="I713" s="7" t="str">
        <f t="shared" si="133"/>
        <v>JAMICON</v>
      </c>
      <c r="J713" s="7" t="str">
        <f t="shared" si="134"/>
        <v>180µF 10v</v>
      </c>
      <c r="K713" s="7"/>
      <c r="L713" s="7" t="str">
        <f t="shared" si="132"/>
        <v>WL</v>
      </c>
      <c r="M713" s="31">
        <f t="shared" si="137"/>
        <v>5</v>
      </c>
      <c r="N713" s="31">
        <f t="shared" si="138"/>
        <v>15</v>
      </c>
      <c r="O713" s="8" t="str">
        <f t="shared" si="139"/>
        <v>Jamicon-WL</v>
      </c>
      <c r="P713" s="12" t="str">
        <f t="shared" si="135"/>
        <v>Jamicon R-05.0x15.0</v>
      </c>
      <c r="Q713" s="12" t="str">
        <f t="shared" si="140"/>
        <v>180µF</v>
      </c>
      <c r="R713" s="12" t="str">
        <f t="shared" si="141"/>
        <v>10v</v>
      </c>
      <c r="S713" s="8" t="str">
        <f t="shared" si="136"/>
        <v>180µF 10v - R05.0-15.0 Jamicon (WL)</v>
      </c>
      <c r="T713" s="8">
        <f t="shared" si="142"/>
        <v>1</v>
      </c>
      <c r="U713" s="8" t="b">
        <f>NOT(ISNA(MATCH($P713,Packages!$A:$A,0)))</f>
        <v>1</v>
      </c>
    </row>
    <row r="714" spans="1:21" hidden="1">
      <c r="A714" s="6" t="s">
        <v>47</v>
      </c>
      <c r="B714" s="6" t="s">
        <v>53</v>
      </c>
      <c r="C714" s="33">
        <v>180</v>
      </c>
      <c r="D714" s="34">
        <v>10</v>
      </c>
      <c r="E714" s="6" t="s">
        <v>69</v>
      </c>
      <c r="F714" s="6" t="s">
        <v>59</v>
      </c>
      <c r="G714" s="6"/>
      <c r="H714" s="7" t="s">
        <v>141</v>
      </c>
      <c r="I714" s="7" t="str">
        <f t="shared" si="133"/>
        <v>JAMICON</v>
      </c>
      <c r="J714" s="7" t="str">
        <f t="shared" si="134"/>
        <v>180µF 10v</v>
      </c>
      <c r="K714" s="7"/>
      <c r="L714" s="7" t="str">
        <f t="shared" si="132"/>
        <v>WL</v>
      </c>
      <c r="M714" s="31">
        <f t="shared" si="137"/>
        <v>6.3</v>
      </c>
      <c r="N714" s="31">
        <f t="shared" si="138"/>
        <v>11</v>
      </c>
      <c r="O714" s="8" t="str">
        <f t="shared" si="139"/>
        <v>Jamicon-WL</v>
      </c>
      <c r="P714" s="12" t="str">
        <f t="shared" si="135"/>
        <v>Jamicon R-06.0x11.0</v>
      </c>
      <c r="Q714" s="12" t="str">
        <f t="shared" si="140"/>
        <v>180µF</v>
      </c>
      <c r="R714" s="12" t="str">
        <f t="shared" si="141"/>
        <v>10v</v>
      </c>
      <c r="S714" s="8" t="str">
        <f t="shared" si="136"/>
        <v>180µF 10v - R06.3-11.0 Jamicon (WL)</v>
      </c>
      <c r="T714" s="8">
        <f t="shared" si="142"/>
        <v>1</v>
      </c>
      <c r="U714" s="8" t="b">
        <f>NOT(ISNA(MATCH($P714,Packages!$A:$A,0)))</f>
        <v>1</v>
      </c>
    </row>
    <row r="715" spans="1:21" hidden="1">
      <c r="A715" s="6" t="s">
        <v>47</v>
      </c>
      <c r="B715" s="6" t="s">
        <v>53</v>
      </c>
      <c r="C715" s="33">
        <v>220</v>
      </c>
      <c r="D715" s="34">
        <v>10</v>
      </c>
      <c r="E715" s="6" t="s">
        <v>118</v>
      </c>
      <c r="F715" s="6" t="s">
        <v>59</v>
      </c>
      <c r="G715" s="6"/>
      <c r="H715" s="7" t="s">
        <v>141</v>
      </c>
      <c r="I715" s="7" t="str">
        <f t="shared" si="133"/>
        <v>JAMICON</v>
      </c>
      <c r="J715" s="7" t="str">
        <f t="shared" si="134"/>
        <v>220µF 10v</v>
      </c>
      <c r="K715" s="7"/>
      <c r="L715" s="7" t="str">
        <f t="shared" si="132"/>
        <v>WL</v>
      </c>
      <c r="M715" s="31">
        <f t="shared" si="137"/>
        <v>5</v>
      </c>
      <c r="N715" s="31">
        <f t="shared" si="138"/>
        <v>15</v>
      </c>
      <c r="O715" s="8" t="str">
        <f t="shared" si="139"/>
        <v>Jamicon-WL</v>
      </c>
      <c r="P715" s="12" t="str">
        <f t="shared" si="135"/>
        <v>Jamicon R-05.0x15.0</v>
      </c>
      <c r="Q715" s="12" t="str">
        <f t="shared" si="140"/>
        <v>220µF</v>
      </c>
      <c r="R715" s="12" t="str">
        <f t="shared" si="141"/>
        <v>10v</v>
      </c>
      <c r="S715" s="8" t="str">
        <f t="shared" si="136"/>
        <v>220µF 10v - R05.0-15.0 Jamicon (WL)</v>
      </c>
      <c r="T715" s="8">
        <f t="shared" si="142"/>
        <v>1</v>
      </c>
      <c r="U715" s="8" t="b">
        <f>NOT(ISNA(MATCH($P715,Packages!$A:$A,0)))</f>
        <v>1</v>
      </c>
    </row>
    <row r="716" spans="1:21" hidden="1">
      <c r="A716" s="6" t="s">
        <v>47</v>
      </c>
      <c r="B716" s="6" t="s">
        <v>53</v>
      </c>
      <c r="C716" s="33">
        <v>220</v>
      </c>
      <c r="D716" s="34">
        <v>10</v>
      </c>
      <c r="E716" s="6" t="s">
        <v>69</v>
      </c>
      <c r="F716" s="6" t="s">
        <v>59</v>
      </c>
      <c r="G716" s="6"/>
      <c r="H716" s="7" t="s">
        <v>141</v>
      </c>
      <c r="I716" s="7" t="str">
        <f t="shared" si="133"/>
        <v>JAMICON</v>
      </c>
      <c r="J716" s="7" t="str">
        <f t="shared" si="134"/>
        <v>220µF 10v</v>
      </c>
      <c r="K716" s="7"/>
      <c r="L716" s="7" t="str">
        <f t="shared" si="132"/>
        <v>WL</v>
      </c>
      <c r="M716" s="31">
        <f t="shared" si="137"/>
        <v>6.3</v>
      </c>
      <c r="N716" s="31">
        <f t="shared" si="138"/>
        <v>11</v>
      </c>
      <c r="O716" s="8" t="str">
        <f t="shared" si="139"/>
        <v>Jamicon-WL</v>
      </c>
      <c r="P716" s="12" t="str">
        <f t="shared" si="135"/>
        <v>Jamicon R-06.0x11.0</v>
      </c>
      <c r="Q716" s="12" t="str">
        <f t="shared" si="140"/>
        <v>220µF</v>
      </c>
      <c r="R716" s="12" t="str">
        <f t="shared" si="141"/>
        <v>10v</v>
      </c>
      <c r="S716" s="8" t="str">
        <f t="shared" si="136"/>
        <v>220µF 10v - R06.3-11.0 Jamicon (WL)</v>
      </c>
      <c r="T716" s="8">
        <f t="shared" si="142"/>
        <v>1</v>
      </c>
      <c r="U716" s="8" t="b">
        <f>NOT(ISNA(MATCH($P716,Packages!$A:$A,0)))</f>
        <v>1</v>
      </c>
    </row>
    <row r="717" spans="1:21" hidden="1">
      <c r="A717" s="6" t="s">
        <v>47</v>
      </c>
      <c r="B717" s="6" t="s">
        <v>53</v>
      </c>
      <c r="C717" s="33">
        <v>270</v>
      </c>
      <c r="D717" s="34">
        <v>10</v>
      </c>
      <c r="E717" s="6" t="s">
        <v>118</v>
      </c>
      <c r="F717" s="6" t="s">
        <v>59</v>
      </c>
      <c r="G717" s="6"/>
      <c r="H717" s="7" t="s">
        <v>141</v>
      </c>
      <c r="I717" s="7" t="str">
        <f t="shared" si="133"/>
        <v>JAMICON</v>
      </c>
      <c r="J717" s="7" t="str">
        <f t="shared" si="134"/>
        <v>270µF 10v</v>
      </c>
      <c r="K717" s="7"/>
      <c r="L717" s="7" t="str">
        <f t="shared" si="132"/>
        <v>WL</v>
      </c>
      <c r="M717" s="31">
        <f t="shared" si="137"/>
        <v>5</v>
      </c>
      <c r="N717" s="31">
        <f t="shared" si="138"/>
        <v>15</v>
      </c>
      <c r="O717" s="8" t="str">
        <f t="shared" si="139"/>
        <v>Jamicon-WL</v>
      </c>
      <c r="P717" s="12" t="str">
        <f t="shared" si="135"/>
        <v>Jamicon R-05.0x15.0</v>
      </c>
      <c r="Q717" s="12" t="str">
        <f t="shared" si="140"/>
        <v>270µF</v>
      </c>
      <c r="R717" s="12" t="str">
        <f t="shared" si="141"/>
        <v>10v</v>
      </c>
      <c r="S717" s="8" t="str">
        <f t="shared" si="136"/>
        <v>270µF 10v - R05.0-15.0 Jamicon (WL)</v>
      </c>
      <c r="T717" s="8">
        <f t="shared" si="142"/>
        <v>1</v>
      </c>
      <c r="U717" s="8" t="b">
        <f>NOT(ISNA(MATCH($P717,Packages!$A:$A,0)))</f>
        <v>1</v>
      </c>
    </row>
    <row r="718" spans="1:21" hidden="1">
      <c r="A718" s="6" t="s">
        <v>47</v>
      </c>
      <c r="B718" s="6" t="s">
        <v>53</v>
      </c>
      <c r="C718" s="33">
        <v>270</v>
      </c>
      <c r="D718" s="34">
        <v>10</v>
      </c>
      <c r="E718" s="6" t="s">
        <v>69</v>
      </c>
      <c r="F718" s="6" t="s">
        <v>59</v>
      </c>
      <c r="G718" s="6"/>
      <c r="H718" s="7" t="s">
        <v>141</v>
      </c>
      <c r="I718" s="7" t="str">
        <f t="shared" si="133"/>
        <v>JAMICON</v>
      </c>
      <c r="J718" s="7" t="str">
        <f t="shared" si="134"/>
        <v>270µF 10v</v>
      </c>
      <c r="K718" s="7"/>
      <c r="L718" s="7" t="str">
        <f t="shared" si="132"/>
        <v>WL</v>
      </c>
      <c r="M718" s="31">
        <f t="shared" si="137"/>
        <v>6.3</v>
      </c>
      <c r="N718" s="31">
        <f t="shared" si="138"/>
        <v>11</v>
      </c>
      <c r="O718" s="8" t="str">
        <f t="shared" si="139"/>
        <v>Jamicon-WL</v>
      </c>
      <c r="P718" s="12" t="str">
        <f t="shared" si="135"/>
        <v>Jamicon R-06.0x11.0</v>
      </c>
      <c r="Q718" s="12" t="str">
        <f t="shared" si="140"/>
        <v>270µF</v>
      </c>
      <c r="R718" s="12" t="str">
        <f t="shared" si="141"/>
        <v>10v</v>
      </c>
      <c r="S718" s="8" t="str">
        <f t="shared" si="136"/>
        <v>270µF 10v - R06.3-11.0 Jamicon (WL)</v>
      </c>
      <c r="T718" s="8">
        <f t="shared" si="142"/>
        <v>1</v>
      </c>
      <c r="U718" s="8" t="b">
        <f>NOT(ISNA(MATCH($P718,Packages!$A:$A,0)))</f>
        <v>1</v>
      </c>
    </row>
    <row r="719" spans="1:21" hidden="1">
      <c r="A719" s="6" t="s">
        <v>47</v>
      </c>
      <c r="B719" s="6" t="s">
        <v>53</v>
      </c>
      <c r="C719" s="33">
        <v>330</v>
      </c>
      <c r="D719" s="34">
        <v>10</v>
      </c>
      <c r="E719" s="6" t="s">
        <v>119</v>
      </c>
      <c r="F719" s="6" t="s">
        <v>59</v>
      </c>
      <c r="G719" s="6"/>
      <c r="H719" s="7" t="s">
        <v>141</v>
      </c>
      <c r="I719" s="7" t="str">
        <f t="shared" si="133"/>
        <v>JAMICON</v>
      </c>
      <c r="J719" s="7" t="str">
        <f t="shared" si="134"/>
        <v>330µF 10v</v>
      </c>
      <c r="K719" s="7"/>
      <c r="L719" s="7" t="str">
        <f t="shared" si="132"/>
        <v>WL</v>
      </c>
      <c r="M719" s="31">
        <f t="shared" si="137"/>
        <v>6.3</v>
      </c>
      <c r="N719" s="31">
        <f t="shared" si="138"/>
        <v>15</v>
      </c>
      <c r="O719" s="8" t="str">
        <f t="shared" si="139"/>
        <v>Jamicon-WL</v>
      </c>
      <c r="P719" s="12" t="str">
        <f t="shared" si="135"/>
        <v>Jamicon R-06.0x15.0</v>
      </c>
      <c r="Q719" s="12" t="str">
        <f t="shared" si="140"/>
        <v>330µF</v>
      </c>
      <c r="R719" s="12" t="str">
        <f t="shared" si="141"/>
        <v>10v</v>
      </c>
      <c r="S719" s="8" t="str">
        <f t="shared" si="136"/>
        <v>330µF 10v - R06.3-15.0 Jamicon (WL)</v>
      </c>
      <c r="T719" s="8">
        <f t="shared" si="142"/>
        <v>1</v>
      </c>
      <c r="U719" s="8" t="b">
        <f>NOT(ISNA(MATCH($P719,Packages!$A:$A,0)))</f>
        <v>1</v>
      </c>
    </row>
    <row r="720" spans="1:21" hidden="1">
      <c r="A720" s="6" t="s">
        <v>47</v>
      </c>
      <c r="B720" s="6" t="s">
        <v>53</v>
      </c>
      <c r="C720" s="33">
        <v>330</v>
      </c>
      <c r="D720" s="34">
        <v>10</v>
      </c>
      <c r="E720" s="6" t="s">
        <v>108</v>
      </c>
      <c r="F720" s="6" t="s">
        <v>59</v>
      </c>
      <c r="G720" s="6"/>
      <c r="H720" s="7" t="s">
        <v>141</v>
      </c>
      <c r="I720" s="7" t="str">
        <f t="shared" si="133"/>
        <v>JAMICON</v>
      </c>
      <c r="J720" s="7" t="str">
        <f t="shared" si="134"/>
        <v>330µF 10v</v>
      </c>
      <c r="K720" s="7"/>
      <c r="L720" s="7" t="str">
        <f t="shared" si="132"/>
        <v>WL</v>
      </c>
      <c r="M720" s="31">
        <f t="shared" si="137"/>
        <v>8</v>
      </c>
      <c r="N720" s="31">
        <f t="shared" si="138"/>
        <v>11.5</v>
      </c>
      <c r="O720" s="8" t="str">
        <f t="shared" si="139"/>
        <v>Jamicon-WL</v>
      </c>
      <c r="P720" s="12" t="str">
        <f t="shared" si="135"/>
        <v>Jamicon R-08.0x12.0</v>
      </c>
      <c r="Q720" s="12" t="str">
        <f t="shared" si="140"/>
        <v>330µF</v>
      </c>
      <c r="R720" s="12" t="str">
        <f t="shared" si="141"/>
        <v>10v</v>
      </c>
      <c r="S720" s="8" t="str">
        <f t="shared" si="136"/>
        <v>330µF 10v - R08.0-11.5 Jamicon (WL)</v>
      </c>
      <c r="T720" s="8">
        <f t="shared" si="142"/>
        <v>1</v>
      </c>
      <c r="U720" s="8" t="b">
        <f>NOT(ISNA(MATCH($P720,Packages!$A:$A,0)))</f>
        <v>1</v>
      </c>
    </row>
    <row r="721" spans="1:21" hidden="1">
      <c r="A721" s="6" t="s">
        <v>47</v>
      </c>
      <c r="B721" s="6" t="s">
        <v>53</v>
      </c>
      <c r="C721" s="33">
        <v>390</v>
      </c>
      <c r="D721" s="34">
        <v>10</v>
      </c>
      <c r="E721" s="6" t="s">
        <v>119</v>
      </c>
      <c r="F721" s="6" t="s">
        <v>59</v>
      </c>
      <c r="G721" s="6"/>
      <c r="H721" s="7" t="s">
        <v>141</v>
      </c>
      <c r="I721" s="7" t="str">
        <f t="shared" si="133"/>
        <v>JAMICON</v>
      </c>
      <c r="J721" s="7" t="str">
        <f t="shared" si="134"/>
        <v>390µF 10v</v>
      </c>
      <c r="K721" s="7"/>
      <c r="L721" s="7" t="str">
        <f t="shared" si="132"/>
        <v>WL</v>
      </c>
      <c r="M721" s="31">
        <f t="shared" si="137"/>
        <v>6.3</v>
      </c>
      <c r="N721" s="31">
        <f t="shared" si="138"/>
        <v>15</v>
      </c>
      <c r="O721" s="8" t="str">
        <f t="shared" si="139"/>
        <v>Jamicon-WL</v>
      </c>
      <c r="P721" s="12" t="str">
        <f t="shared" si="135"/>
        <v>Jamicon R-06.0x15.0</v>
      </c>
      <c r="Q721" s="12" t="str">
        <f t="shared" si="140"/>
        <v>390µF</v>
      </c>
      <c r="R721" s="12" t="str">
        <f t="shared" si="141"/>
        <v>10v</v>
      </c>
      <c r="S721" s="8" t="str">
        <f t="shared" si="136"/>
        <v>390µF 10v - R06.3-15.0 Jamicon (WL)</v>
      </c>
      <c r="T721" s="8">
        <f t="shared" si="142"/>
        <v>1</v>
      </c>
      <c r="U721" s="8" t="b">
        <f>NOT(ISNA(MATCH($P721,Packages!$A:$A,0)))</f>
        <v>1</v>
      </c>
    </row>
    <row r="722" spans="1:21" hidden="1">
      <c r="A722" s="6" t="s">
        <v>47</v>
      </c>
      <c r="B722" s="6" t="s">
        <v>53</v>
      </c>
      <c r="C722" s="33">
        <v>390</v>
      </c>
      <c r="D722" s="34">
        <v>10</v>
      </c>
      <c r="E722" s="6" t="s">
        <v>108</v>
      </c>
      <c r="F722" s="6" t="s">
        <v>59</v>
      </c>
      <c r="G722" s="6"/>
      <c r="H722" s="7" t="s">
        <v>141</v>
      </c>
      <c r="I722" s="7" t="str">
        <f t="shared" si="133"/>
        <v>JAMICON</v>
      </c>
      <c r="J722" s="7" t="str">
        <f t="shared" si="134"/>
        <v>390µF 10v</v>
      </c>
      <c r="K722" s="7"/>
      <c r="L722" s="7" t="str">
        <f t="shared" si="132"/>
        <v>WL</v>
      </c>
      <c r="M722" s="31">
        <f t="shared" si="137"/>
        <v>8</v>
      </c>
      <c r="N722" s="31">
        <f t="shared" si="138"/>
        <v>11.5</v>
      </c>
      <c r="O722" s="8" t="str">
        <f t="shared" si="139"/>
        <v>Jamicon-WL</v>
      </c>
      <c r="P722" s="12" t="str">
        <f t="shared" si="135"/>
        <v>Jamicon R-08.0x12.0</v>
      </c>
      <c r="Q722" s="12" t="str">
        <f t="shared" si="140"/>
        <v>390µF</v>
      </c>
      <c r="R722" s="12" t="str">
        <f t="shared" si="141"/>
        <v>10v</v>
      </c>
      <c r="S722" s="8" t="str">
        <f t="shared" si="136"/>
        <v>390µF 10v - R08.0-11.5 Jamicon (WL)</v>
      </c>
      <c r="T722" s="8">
        <f t="shared" si="142"/>
        <v>1</v>
      </c>
      <c r="U722" s="8" t="b">
        <f>NOT(ISNA(MATCH($P722,Packages!$A:$A,0)))</f>
        <v>1</v>
      </c>
    </row>
    <row r="723" spans="1:21" hidden="1">
      <c r="A723" s="6" t="s">
        <v>47</v>
      </c>
      <c r="B723" s="6" t="s">
        <v>53</v>
      </c>
      <c r="C723" s="33">
        <v>470</v>
      </c>
      <c r="D723" s="34">
        <v>10</v>
      </c>
      <c r="E723" s="6" t="s">
        <v>119</v>
      </c>
      <c r="F723" s="6" t="s">
        <v>59</v>
      </c>
      <c r="G723" s="6"/>
      <c r="H723" s="7" t="s">
        <v>141</v>
      </c>
      <c r="I723" s="7" t="str">
        <f t="shared" si="133"/>
        <v>JAMICON</v>
      </c>
      <c r="J723" s="7" t="str">
        <f t="shared" si="134"/>
        <v>470µF 10v</v>
      </c>
      <c r="K723" s="7"/>
      <c r="L723" s="7" t="str">
        <f t="shared" si="132"/>
        <v>WL</v>
      </c>
      <c r="M723" s="31">
        <f t="shared" si="137"/>
        <v>6.3</v>
      </c>
      <c r="N723" s="31">
        <f t="shared" si="138"/>
        <v>15</v>
      </c>
      <c r="O723" s="8" t="str">
        <f t="shared" si="139"/>
        <v>Jamicon-WL</v>
      </c>
      <c r="P723" s="12" t="str">
        <f t="shared" si="135"/>
        <v>Jamicon R-06.0x15.0</v>
      </c>
      <c r="Q723" s="12" t="str">
        <f t="shared" si="140"/>
        <v>470µF</v>
      </c>
      <c r="R723" s="12" t="str">
        <f t="shared" si="141"/>
        <v>10v</v>
      </c>
      <c r="S723" s="8" t="str">
        <f t="shared" si="136"/>
        <v>470µF 10v - R06.3-15.0 Jamicon (WL)</v>
      </c>
      <c r="T723" s="8">
        <f t="shared" si="142"/>
        <v>1</v>
      </c>
      <c r="U723" s="8" t="b">
        <f>NOT(ISNA(MATCH($P723,Packages!$A:$A,0)))</f>
        <v>1</v>
      </c>
    </row>
    <row r="724" spans="1:21" hidden="1">
      <c r="A724" s="6" t="s">
        <v>47</v>
      </c>
      <c r="B724" s="6" t="s">
        <v>53</v>
      </c>
      <c r="C724" s="33">
        <v>470</v>
      </c>
      <c r="D724" s="34">
        <v>10</v>
      </c>
      <c r="E724" s="6" t="s">
        <v>108</v>
      </c>
      <c r="F724" s="6" t="s">
        <v>59</v>
      </c>
      <c r="G724" s="6"/>
      <c r="H724" s="7" t="s">
        <v>141</v>
      </c>
      <c r="I724" s="7" t="str">
        <f t="shared" si="133"/>
        <v>JAMICON</v>
      </c>
      <c r="J724" s="7" t="str">
        <f t="shared" si="134"/>
        <v>470µF 10v</v>
      </c>
      <c r="K724" s="7"/>
      <c r="L724" s="7" t="str">
        <f t="shared" si="132"/>
        <v>WL</v>
      </c>
      <c r="M724" s="31">
        <f t="shared" si="137"/>
        <v>8</v>
      </c>
      <c r="N724" s="31">
        <f t="shared" si="138"/>
        <v>11.5</v>
      </c>
      <c r="O724" s="8" t="str">
        <f t="shared" si="139"/>
        <v>Jamicon-WL</v>
      </c>
      <c r="P724" s="12" t="str">
        <f t="shared" si="135"/>
        <v>Jamicon R-08.0x12.0</v>
      </c>
      <c r="Q724" s="12" t="str">
        <f t="shared" si="140"/>
        <v>470µF</v>
      </c>
      <c r="R724" s="12" t="str">
        <f t="shared" si="141"/>
        <v>10v</v>
      </c>
      <c r="S724" s="8" t="str">
        <f t="shared" si="136"/>
        <v>470µF 10v - R08.0-11.5 Jamicon (WL)</v>
      </c>
      <c r="T724" s="8">
        <f t="shared" si="142"/>
        <v>1</v>
      </c>
      <c r="U724" s="8" t="b">
        <f>NOT(ISNA(MATCH($P724,Packages!$A:$A,0)))</f>
        <v>1</v>
      </c>
    </row>
    <row r="725" spans="1:21" hidden="1">
      <c r="A725" s="6" t="s">
        <v>47</v>
      </c>
      <c r="B725" s="6" t="s">
        <v>53</v>
      </c>
      <c r="C725" s="33">
        <v>560</v>
      </c>
      <c r="D725" s="34">
        <v>10</v>
      </c>
      <c r="E725" s="6" t="s">
        <v>119</v>
      </c>
      <c r="F725" s="6" t="s">
        <v>59</v>
      </c>
      <c r="G725" s="6"/>
      <c r="H725" s="7" t="s">
        <v>141</v>
      </c>
      <c r="I725" s="7" t="str">
        <f t="shared" si="133"/>
        <v>JAMICON</v>
      </c>
      <c r="J725" s="7" t="str">
        <f t="shared" si="134"/>
        <v>560µF 10v</v>
      </c>
      <c r="K725" s="7"/>
      <c r="L725" s="7" t="str">
        <f t="shared" si="132"/>
        <v>WL</v>
      </c>
      <c r="M725" s="31">
        <f t="shared" si="137"/>
        <v>6.3</v>
      </c>
      <c r="N725" s="31">
        <f t="shared" si="138"/>
        <v>15</v>
      </c>
      <c r="O725" s="8" t="str">
        <f t="shared" si="139"/>
        <v>Jamicon-WL</v>
      </c>
      <c r="P725" s="12" t="str">
        <f t="shared" si="135"/>
        <v>Jamicon R-06.0x15.0</v>
      </c>
      <c r="Q725" s="12" t="str">
        <f t="shared" si="140"/>
        <v>560µF</v>
      </c>
      <c r="R725" s="12" t="str">
        <f t="shared" si="141"/>
        <v>10v</v>
      </c>
      <c r="S725" s="8" t="str">
        <f t="shared" si="136"/>
        <v>560µF 10v - R06.3-15.0 Jamicon (WL)</v>
      </c>
      <c r="T725" s="8">
        <f t="shared" si="142"/>
        <v>1</v>
      </c>
      <c r="U725" s="8" t="b">
        <f>NOT(ISNA(MATCH($P725,Packages!$A:$A,0)))</f>
        <v>1</v>
      </c>
    </row>
    <row r="726" spans="1:21" hidden="1">
      <c r="A726" s="6" t="s">
        <v>47</v>
      </c>
      <c r="B726" s="6" t="s">
        <v>53</v>
      </c>
      <c r="C726" s="33">
        <v>560</v>
      </c>
      <c r="D726" s="34">
        <v>10</v>
      </c>
      <c r="E726" s="6" t="s">
        <v>108</v>
      </c>
      <c r="F726" s="6" t="s">
        <v>59</v>
      </c>
      <c r="G726" s="6"/>
      <c r="H726" s="7" t="s">
        <v>141</v>
      </c>
      <c r="I726" s="7" t="str">
        <f t="shared" si="133"/>
        <v>JAMICON</v>
      </c>
      <c r="J726" s="7" t="str">
        <f t="shared" si="134"/>
        <v>560µF 10v</v>
      </c>
      <c r="K726" s="7"/>
      <c r="L726" s="7" t="str">
        <f t="shared" si="132"/>
        <v>WL</v>
      </c>
      <c r="M726" s="31">
        <f t="shared" si="137"/>
        <v>8</v>
      </c>
      <c r="N726" s="31">
        <f t="shared" si="138"/>
        <v>11.5</v>
      </c>
      <c r="O726" s="8" t="str">
        <f t="shared" si="139"/>
        <v>Jamicon-WL</v>
      </c>
      <c r="P726" s="12" t="str">
        <f t="shared" si="135"/>
        <v>Jamicon R-08.0x12.0</v>
      </c>
      <c r="Q726" s="12" t="str">
        <f t="shared" si="140"/>
        <v>560µF</v>
      </c>
      <c r="R726" s="12" t="str">
        <f t="shared" si="141"/>
        <v>10v</v>
      </c>
      <c r="S726" s="8" t="str">
        <f t="shared" si="136"/>
        <v>560µF 10v - R08.0-11.5 Jamicon (WL)</v>
      </c>
      <c r="T726" s="8">
        <f t="shared" si="142"/>
        <v>1</v>
      </c>
      <c r="U726" s="8" t="b">
        <f>NOT(ISNA(MATCH($P726,Packages!$A:$A,0)))</f>
        <v>1</v>
      </c>
    </row>
    <row r="727" spans="1:21" hidden="1">
      <c r="A727" s="6" t="s">
        <v>47</v>
      </c>
      <c r="B727" s="6" t="s">
        <v>53</v>
      </c>
      <c r="C727" s="33">
        <v>680</v>
      </c>
      <c r="D727" s="34">
        <v>10</v>
      </c>
      <c r="E727" s="6" t="s">
        <v>120</v>
      </c>
      <c r="F727" s="6" t="s">
        <v>59</v>
      </c>
      <c r="G727" s="6"/>
      <c r="H727" s="7" t="s">
        <v>141</v>
      </c>
      <c r="I727" s="7" t="str">
        <f t="shared" si="133"/>
        <v>JAMICON</v>
      </c>
      <c r="J727" s="7" t="str">
        <f t="shared" si="134"/>
        <v>680µF 10v</v>
      </c>
      <c r="K727" s="7"/>
      <c r="L727" s="7" t="str">
        <f t="shared" si="132"/>
        <v>WL</v>
      </c>
      <c r="M727" s="31">
        <f t="shared" si="137"/>
        <v>8</v>
      </c>
      <c r="N727" s="31">
        <f t="shared" si="138"/>
        <v>15</v>
      </c>
      <c r="O727" s="8" t="str">
        <f t="shared" si="139"/>
        <v>Jamicon-WL</v>
      </c>
      <c r="P727" s="12" t="str">
        <f t="shared" si="135"/>
        <v>Jamicon R-08.0x15.0</v>
      </c>
      <c r="Q727" s="12" t="str">
        <f t="shared" si="140"/>
        <v>680µF</v>
      </c>
      <c r="R727" s="12" t="str">
        <f t="shared" si="141"/>
        <v>10v</v>
      </c>
      <c r="S727" s="8" t="str">
        <f t="shared" si="136"/>
        <v>680µF 10v - R08.0-15.0 Jamicon (WL)</v>
      </c>
      <c r="T727" s="8">
        <f t="shared" si="142"/>
        <v>1</v>
      </c>
      <c r="U727" s="8" t="b">
        <f>NOT(ISNA(MATCH($P727,Packages!$A:$A,0)))</f>
        <v>1</v>
      </c>
    </row>
    <row r="728" spans="1:21" hidden="1">
      <c r="A728" s="6" t="s">
        <v>47</v>
      </c>
      <c r="B728" s="6" t="s">
        <v>53</v>
      </c>
      <c r="C728" s="33">
        <v>680</v>
      </c>
      <c r="D728" s="34">
        <v>10</v>
      </c>
      <c r="E728" s="6" t="s">
        <v>92</v>
      </c>
      <c r="F728" s="6" t="s">
        <v>59</v>
      </c>
      <c r="G728" s="6"/>
      <c r="H728" s="7" t="s">
        <v>141</v>
      </c>
      <c r="I728" s="7" t="str">
        <f t="shared" si="133"/>
        <v>JAMICON</v>
      </c>
      <c r="J728" s="7" t="str">
        <f t="shared" si="134"/>
        <v>680µF 10v</v>
      </c>
      <c r="K728" s="7"/>
      <c r="L728" s="7" t="str">
        <f t="shared" si="132"/>
        <v>WL</v>
      </c>
      <c r="M728" s="31">
        <f t="shared" si="137"/>
        <v>10</v>
      </c>
      <c r="N728" s="31">
        <f t="shared" si="138"/>
        <v>12.5</v>
      </c>
      <c r="O728" s="8" t="str">
        <f t="shared" si="139"/>
        <v>Jamicon-WL</v>
      </c>
      <c r="P728" s="12" t="str">
        <f t="shared" si="135"/>
        <v>Jamicon R-10.0x13.0</v>
      </c>
      <c r="Q728" s="12" t="str">
        <f t="shared" si="140"/>
        <v>680µF</v>
      </c>
      <c r="R728" s="12" t="str">
        <f t="shared" si="141"/>
        <v>10v</v>
      </c>
      <c r="S728" s="8" t="str">
        <f t="shared" si="136"/>
        <v>680µF 10v - R10.0-12.5 Jamicon (WL)</v>
      </c>
      <c r="T728" s="8">
        <f t="shared" si="142"/>
        <v>1</v>
      </c>
      <c r="U728" s="8" t="b">
        <f>NOT(ISNA(MATCH($P728,Packages!$A:$A,0)))</f>
        <v>1</v>
      </c>
    </row>
    <row r="729" spans="1:21" hidden="1">
      <c r="A729" s="6" t="s">
        <v>47</v>
      </c>
      <c r="B729" s="6" t="s">
        <v>53</v>
      </c>
      <c r="C729" s="33">
        <v>820</v>
      </c>
      <c r="D729" s="34">
        <v>10</v>
      </c>
      <c r="E729" s="6" t="s">
        <v>120</v>
      </c>
      <c r="F729" s="6" t="s">
        <v>59</v>
      </c>
      <c r="G729" s="6"/>
      <c r="H729" s="7" t="s">
        <v>141</v>
      </c>
      <c r="I729" s="7" t="str">
        <f t="shared" si="133"/>
        <v>JAMICON</v>
      </c>
      <c r="J729" s="7" t="str">
        <f t="shared" si="134"/>
        <v>820µF 10v</v>
      </c>
      <c r="K729" s="7"/>
      <c r="L729" s="7" t="str">
        <f t="shared" si="132"/>
        <v>WL</v>
      </c>
      <c r="M729" s="31">
        <f t="shared" si="137"/>
        <v>8</v>
      </c>
      <c r="N729" s="31">
        <f t="shared" si="138"/>
        <v>15</v>
      </c>
      <c r="O729" s="8" t="str">
        <f t="shared" si="139"/>
        <v>Jamicon-WL</v>
      </c>
      <c r="P729" s="12" t="str">
        <f t="shared" si="135"/>
        <v>Jamicon R-08.0x15.0</v>
      </c>
      <c r="Q729" s="12" t="str">
        <f t="shared" si="140"/>
        <v>820µF</v>
      </c>
      <c r="R729" s="12" t="str">
        <f t="shared" si="141"/>
        <v>10v</v>
      </c>
      <c r="S729" s="8" t="str">
        <f t="shared" si="136"/>
        <v>820µF 10v - R08.0-15.0 Jamicon (WL)</v>
      </c>
      <c r="T729" s="8">
        <f t="shared" si="142"/>
        <v>1</v>
      </c>
      <c r="U729" s="8" t="b">
        <f>NOT(ISNA(MATCH($P729,Packages!$A:$A,0)))</f>
        <v>1</v>
      </c>
    </row>
    <row r="730" spans="1:21" hidden="1">
      <c r="A730" s="6" t="s">
        <v>47</v>
      </c>
      <c r="B730" s="6" t="s">
        <v>53</v>
      </c>
      <c r="C730" s="33">
        <v>820</v>
      </c>
      <c r="D730" s="34">
        <v>10</v>
      </c>
      <c r="E730" s="6" t="s">
        <v>92</v>
      </c>
      <c r="F730" s="6" t="s">
        <v>59</v>
      </c>
      <c r="G730" s="6"/>
      <c r="H730" s="7" t="s">
        <v>141</v>
      </c>
      <c r="I730" s="7" t="str">
        <f t="shared" si="133"/>
        <v>JAMICON</v>
      </c>
      <c r="J730" s="7" t="str">
        <f t="shared" si="134"/>
        <v>820µF 10v</v>
      </c>
      <c r="K730" s="7"/>
      <c r="L730" s="7" t="str">
        <f t="shared" si="132"/>
        <v>WL</v>
      </c>
      <c r="M730" s="31">
        <f t="shared" si="137"/>
        <v>10</v>
      </c>
      <c r="N730" s="31">
        <f t="shared" si="138"/>
        <v>12.5</v>
      </c>
      <c r="O730" s="8" t="str">
        <f t="shared" si="139"/>
        <v>Jamicon-WL</v>
      </c>
      <c r="P730" s="12" t="str">
        <f t="shared" si="135"/>
        <v>Jamicon R-10.0x13.0</v>
      </c>
      <c r="Q730" s="12" t="str">
        <f t="shared" si="140"/>
        <v>820µF</v>
      </c>
      <c r="R730" s="12" t="str">
        <f t="shared" si="141"/>
        <v>10v</v>
      </c>
      <c r="S730" s="8" t="str">
        <f t="shared" si="136"/>
        <v>820µF 10v - R10.0-12.5 Jamicon (WL)</v>
      </c>
      <c r="T730" s="8">
        <f t="shared" si="142"/>
        <v>1</v>
      </c>
      <c r="U730" s="8" t="b">
        <f>NOT(ISNA(MATCH($P730,Packages!$A:$A,0)))</f>
        <v>1</v>
      </c>
    </row>
    <row r="731" spans="1:21" hidden="1">
      <c r="A731" s="6" t="s">
        <v>47</v>
      </c>
      <c r="B731" s="6" t="s">
        <v>53</v>
      </c>
      <c r="C731" s="33">
        <v>1000</v>
      </c>
      <c r="D731" s="34">
        <v>10</v>
      </c>
      <c r="E731" s="6" t="s">
        <v>121</v>
      </c>
      <c r="F731" s="6" t="s">
        <v>59</v>
      </c>
      <c r="G731" s="6"/>
      <c r="H731" s="7" t="s">
        <v>141</v>
      </c>
      <c r="I731" s="7" t="str">
        <f t="shared" si="133"/>
        <v>JAMICON</v>
      </c>
      <c r="J731" s="7" t="str">
        <f t="shared" si="134"/>
        <v>1000µF 10v</v>
      </c>
      <c r="K731" s="7"/>
      <c r="L731" s="7" t="str">
        <f t="shared" si="132"/>
        <v>WL</v>
      </c>
      <c r="M731" s="31">
        <f t="shared" si="137"/>
        <v>8</v>
      </c>
      <c r="N731" s="31">
        <f t="shared" si="138"/>
        <v>20</v>
      </c>
      <c r="O731" s="8" t="str">
        <f t="shared" si="139"/>
        <v>Jamicon-WL</v>
      </c>
      <c r="P731" s="12" t="str">
        <f t="shared" si="135"/>
        <v>Jamicon R-08.0x20.0</v>
      </c>
      <c r="Q731" s="12" t="str">
        <f t="shared" si="140"/>
        <v>1000µF</v>
      </c>
      <c r="R731" s="12" t="str">
        <f t="shared" si="141"/>
        <v>10v</v>
      </c>
      <c r="S731" s="8" t="str">
        <f t="shared" si="136"/>
        <v>1000µF 10v - R08.0-20.0 Jamicon (WL)</v>
      </c>
      <c r="T731" s="8">
        <f t="shared" si="142"/>
        <v>1</v>
      </c>
      <c r="U731" s="8" t="b">
        <f>NOT(ISNA(MATCH($P731,Packages!$A:$A,0)))</f>
        <v>1</v>
      </c>
    </row>
    <row r="732" spans="1:21" hidden="1">
      <c r="A732" s="6" t="s">
        <v>47</v>
      </c>
      <c r="B732" s="6" t="s">
        <v>53</v>
      </c>
      <c r="C732" s="33">
        <v>1000</v>
      </c>
      <c r="D732" s="34">
        <v>10</v>
      </c>
      <c r="E732" s="6" t="s">
        <v>74</v>
      </c>
      <c r="F732" s="6" t="s">
        <v>59</v>
      </c>
      <c r="G732" s="6"/>
      <c r="H732" s="7" t="s">
        <v>141</v>
      </c>
      <c r="I732" s="7" t="str">
        <f t="shared" si="133"/>
        <v>JAMICON</v>
      </c>
      <c r="J732" s="7" t="str">
        <f t="shared" si="134"/>
        <v>1000µF 10v</v>
      </c>
      <c r="K732" s="7"/>
      <c r="L732" s="7" t="str">
        <f t="shared" ref="L732:L795" si="143">B732</f>
        <v>WL</v>
      </c>
      <c r="M732" s="31">
        <f t="shared" si="137"/>
        <v>10</v>
      </c>
      <c r="N732" s="31">
        <f t="shared" si="138"/>
        <v>16</v>
      </c>
      <c r="O732" s="8" t="str">
        <f t="shared" si="139"/>
        <v>Jamicon-WL</v>
      </c>
      <c r="P732" s="12" t="str">
        <f t="shared" si="135"/>
        <v>Jamicon R-10.0x16.0</v>
      </c>
      <c r="Q732" s="12" t="str">
        <f t="shared" si="140"/>
        <v>1000µF</v>
      </c>
      <c r="R732" s="12" t="str">
        <f t="shared" si="141"/>
        <v>10v</v>
      </c>
      <c r="S732" s="8" t="str">
        <f t="shared" si="136"/>
        <v>1000µF 10v - R10.0-16.0 Jamicon (WL)</v>
      </c>
      <c r="T732" s="8">
        <f t="shared" si="142"/>
        <v>1</v>
      </c>
      <c r="U732" s="8" t="b">
        <f>NOT(ISNA(MATCH($P732,Packages!$A:$A,0)))</f>
        <v>1</v>
      </c>
    </row>
    <row r="733" spans="1:21" hidden="1">
      <c r="A733" s="6" t="s">
        <v>47</v>
      </c>
      <c r="B733" s="6" t="s">
        <v>53</v>
      </c>
      <c r="C733" s="33">
        <v>1200</v>
      </c>
      <c r="D733" s="34">
        <v>10</v>
      </c>
      <c r="E733" s="6" t="s">
        <v>94</v>
      </c>
      <c r="F733" s="6" t="s">
        <v>59</v>
      </c>
      <c r="G733" s="6"/>
      <c r="H733" s="7" t="s">
        <v>141</v>
      </c>
      <c r="I733" s="7" t="str">
        <f t="shared" ref="I733:I796" si="144">UPPER($A733)</f>
        <v>JAMICON</v>
      </c>
      <c r="J733" s="7" t="str">
        <f t="shared" ref="J733:J796" si="145">$Q733&amp;" "&amp;$R733</f>
        <v>1200µF 10v</v>
      </c>
      <c r="K733" s="7"/>
      <c r="L733" s="7" t="str">
        <f t="shared" si="143"/>
        <v>WL</v>
      </c>
      <c r="M733" s="31">
        <f t="shared" si="137"/>
        <v>10</v>
      </c>
      <c r="N733" s="31">
        <f t="shared" si="138"/>
        <v>20</v>
      </c>
      <c r="O733" s="8" t="str">
        <f t="shared" si="139"/>
        <v>Jamicon-WL</v>
      </c>
      <c r="P733" s="12" t="str">
        <f t="shared" si="135"/>
        <v>Jamicon R-10.0x20.0</v>
      </c>
      <c r="Q733" s="12" t="str">
        <f t="shared" si="140"/>
        <v>1200µF</v>
      </c>
      <c r="R733" s="12" t="str">
        <f t="shared" si="141"/>
        <v>10v</v>
      </c>
      <c r="S733" s="8" t="str">
        <f t="shared" si="136"/>
        <v>1200µF 10v - R10.0-20.0 Jamicon (WL)</v>
      </c>
      <c r="T733" s="8">
        <f t="shared" si="142"/>
        <v>1</v>
      </c>
      <c r="U733" s="8" t="b">
        <f>NOT(ISNA(MATCH($P733,Packages!$A:$A,0)))</f>
        <v>1</v>
      </c>
    </row>
    <row r="734" spans="1:21" hidden="1">
      <c r="A734" s="6" t="s">
        <v>47</v>
      </c>
      <c r="B734" s="6" t="s">
        <v>53</v>
      </c>
      <c r="C734" s="33">
        <v>1200</v>
      </c>
      <c r="D734" s="34">
        <v>10</v>
      </c>
      <c r="E734" s="6" t="s">
        <v>122</v>
      </c>
      <c r="F734" s="6" t="s">
        <v>59</v>
      </c>
      <c r="G734" s="6"/>
      <c r="H734" s="7" t="s">
        <v>141</v>
      </c>
      <c r="I734" s="7" t="str">
        <f t="shared" si="144"/>
        <v>JAMICON</v>
      </c>
      <c r="J734" s="7" t="str">
        <f t="shared" si="145"/>
        <v>1200µF 10v</v>
      </c>
      <c r="K734" s="7"/>
      <c r="L734" s="7" t="str">
        <f t="shared" si="143"/>
        <v>WL</v>
      </c>
      <c r="M734" s="31">
        <f t="shared" si="137"/>
        <v>12.5</v>
      </c>
      <c r="N734" s="31">
        <f t="shared" si="138"/>
        <v>15</v>
      </c>
      <c r="O734" s="8" t="str">
        <f t="shared" si="139"/>
        <v>Jamicon-WL</v>
      </c>
      <c r="P734" s="12" t="str">
        <f t="shared" si="135"/>
        <v>Jamicon R-13.0x15.0</v>
      </c>
      <c r="Q734" s="12" t="str">
        <f t="shared" si="140"/>
        <v>1200µF</v>
      </c>
      <c r="R734" s="12" t="str">
        <f t="shared" si="141"/>
        <v>10v</v>
      </c>
      <c r="S734" s="8" t="str">
        <f t="shared" si="136"/>
        <v>1200µF 10v - R12.5-15.0 Jamicon (WL)</v>
      </c>
      <c r="T734" s="8">
        <f t="shared" si="142"/>
        <v>1</v>
      </c>
      <c r="U734" s="8" t="b">
        <f>NOT(ISNA(MATCH($P734,Packages!$A:$A,0)))</f>
        <v>1</v>
      </c>
    </row>
    <row r="735" spans="1:21" hidden="1">
      <c r="A735" s="6" t="s">
        <v>47</v>
      </c>
      <c r="B735" s="6" t="s">
        <v>53</v>
      </c>
      <c r="C735" s="33">
        <v>1500</v>
      </c>
      <c r="D735" s="34">
        <v>10</v>
      </c>
      <c r="E735" s="6" t="s">
        <v>123</v>
      </c>
      <c r="F735" s="6" t="s">
        <v>59</v>
      </c>
      <c r="G735" s="6"/>
      <c r="H735" s="7" t="s">
        <v>141</v>
      </c>
      <c r="I735" s="7" t="str">
        <f t="shared" si="144"/>
        <v>JAMICON</v>
      </c>
      <c r="J735" s="7" t="str">
        <f t="shared" si="145"/>
        <v>1500µF 10v</v>
      </c>
      <c r="K735" s="7"/>
      <c r="L735" s="7" t="str">
        <f t="shared" si="143"/>
        <v>WL</v>
      </c>
      <c r="M735" s="31">
        <f t="shared" si="137"/>
        <v>10</v>
      </c>
      <c r="N735" s="31">
        <f t="shared" si="138"/>
        <v>25</v>
      </c>
      <c r="O735" s="8" t="str">
        <f t="shared" si="139"/>
        <v>Jamicon-WL</v>
      </c>
      <c r="P735" s="12" t="str">
        <f t="shared" si="135"/>
        <v>Jamicon R-10.0x25.0</v>
      </c>
      <c r="Q735" s="12" t="str">
        <f t="shared" si="140"/>
        <v>1500µF</v>
      </c>
      <c r="R735" s="12" t="str">
        <f t="shared" si="141"/>
        <v>10v</v>
      </c>
      <c r="S735" s="8" t="str">
        <f t="shared" si="136"/>
        <v>1500µF 10v - R10.0-25.0 Jamicon (WL)</v>
      </c>
      <c r="T735" s="8">
        <f t="shared" si="142"/>
        <v>1</v>
      </c>
      <c r="U735" s="8" t="b">
        <f>NOT(ISNA(MATCH($P735,Packages!$A:$A,0)))</f>
        <v>1</v>
      </c>
    </row>
    <row r="736" spans="1:21" hidden="1">
      <c r="A736" s="6" t="s">
        <v>47</v>
      </c>
      <c r="B736" s="6" t="s">
        <v>53</v>
      </c>
      <c r="C736" s="33">
        <v>1500</v>
      </c>
      <c r="D736" s="34">
        <v>10</v>
      </c>
      <c r="E736" s="6" t="s">
        <v>124</v>
      </c>
      <c r="F736" s="6" t="s">
        <v>59</v>
      </c>
      <c r="G736" s="6"/>
      <c r="H736" s="7" t="s">
        <v>141</v>
      </c>
      <c r="I736" s="7" t="str">
        <f t="shared" si="144"/>
        <v>JAMICON</v>
      </c>
      <c r="J736" s="7" t="str">
        <f t="shared" si="145"/>
        <v>1500µF 10v</v>
      </c>
      <c r="K736" s="7"/>
      <c r="L736" s="7" t="str">
        <f t="shared" si="143"/>
        <v>WL</v>
      </c>
      <c r="M736" s="31">
        <f t="shared" si="137"/>
        <v>12.5</v>
      </c>
      <c r="N736" s="31">
        <f t="shared" si="138"/>
        <v>18</v>
      </c>
      <c r="O736" s="8" t="str">
        <f t="shared" si="139"/>
        <v>Jamicon-WL</v>
      </c>
      <c r="P736" s="12" t="str">
        <f t="shared" si="135"/>
        <v>Jamicon R-13.0x18.0</v>
      </c>
      <c r="Q736" s="12" t="str">
        <f t="shared" si="140"/>
        <v>1500µF</v>
      </c>
      <c r="R736" s="12" t="str">
        <f t="shared" si="141"/>
        <v>10v</v>
      </c>
      <c r="S736" s="8" t="str">
        <f t="shared" si="136"/>
        <v>1500µF 10v - R12.5-18.0 Jamicon (WL)</v>
      </c>
      <c r="T736" s="8">
        <f t="shared" si="142"/>
        <v>1</v>
      </c>
      <c r="U736" s="8" t="b">
        <f>NOT(ISNA(MATCH($P736,Packages!$A:$A,0)))</f>
        <v>1</v>
      </c>
    </row>
    <row r="737" spans="1:21" hidden="1">
      <c r="A737" s="6" t="s">
        <v>47</v>
      </c>
      <c r="B737" s="6" t="s">
        <v>53</v>
      </c>
      <c r="C737" s="33">
        <v>1800</v>
      </c>
      <c r="D737" s="34">
        <v>10</v>
      </c>
      <c r="E737" s="6" t="s">
        <v>123</v>
      </c>
      <c r="F737" s="6" t="s">
        <v>59</v>
      </c>
      <c r="G737" s="6"/>
      <c r="H737" s="7" t="s">
        <v>141</v>
      </c>
      <c r="I737" s="7" t="str">
        <f t="shared" si="144"/>
        <v>JAMICON</v>
      </c>
      <c r="J737" s="7" t="str">
        <f t="shared" si="145"/>
        <v>1800µF 10v</v>
      </c>
      <c r="K737" s="7"/>
      <c r="L737" s="7" t="str">
        <f t="shared" si="143"/>
        <v>WL</v>
      </c>
      <c r="M737" s="31">
        <f t="shared" si="137"/>
        <v>10</v>
      </c>
      <c r="N737" s="31">
        <f t="shared" si="138"/>
        <v>25</v>
      </c>
      <c r="O737" s="8" t="str">
        <f t="shared" si="139"/>
        <v>Jamicon-WL</v>
      </c>
      <c r="P737" s="12" t="str">
        <f t="shared" si="135"/>
        <v>Jamicon R-10.0x25.0</v>
      </c>
      <c r="Q737" s="12" t="str">
        <f t="shared" si="140"/>
        <v>1800µF</v>
      </c>
      <c r="R737" s="12" t="str">
        <f t="shared" si="141"/>
        <v>10v</v>
      </c>
      <c r="S737" s="8" t="str">
        <f t="shared" si="136"/>
        <v>1800µF 10v - R10.0-25.0 Jamicon (WL)</v>
      </c>
      <c r="T737" s="8">
        <f t="shared" si="142"/>
        <v>1</v>
      </c>
      <c r="U737" s="8" t="b">
        <f>NOT(ISNA(MATCH($P737,Packages!$A:$A,0)))</f>
        <v>1</v>
      </c>
    </row>
    <row r="738" spans="1:21" hidden="1">
      <c r="A738" s="6" t="s">
        <v>47</v>
      </c>
      <c r="B738" s="6" t="s">
        <v>53</v>
      </c>
      <c r="C738" s="33">
        <v>1800</v>
      </c>
      <c r="D738" s="34">
        <v>10</v>
      </c>
      <c r="E738" s="6" t="s">
        <v>124</v>
      </c>
      <c r="F738" s="6" t="s">
        <v>59</v>
      </c>
      <c r="G738" s="6"/>
      <c r="H738" s="7" t="s">
        <v>141</v>
      </c>
      <c r="I738" s="7" t="str">
        <f t="shared" si="144"/>
        <v>JAMICON</v>
      </c>
      <c r="J738" s="7" t="str">
        <f t="shared" si="145"/>
        <v>1800µF 10v</v>
      </c>
      <c r="K738" s="7"/>
      <c r="L738" s="7" t="str">
        <f t="shared" si="143"/>
        <v>WL</v>
      </c>
      <c r="M738" s="31">
        <f t="shared" si="137"/>
        <v>12.5</v>
      </c>
      <c r="N738" s="31">
        <f t="shared" si="138"/>
        <v>18</v>
      </c>
      <c r="O738" s="8" t="str">
        <f t="shared" si="139"/>
        <v>Jamicon-WL</v>
      </c>
      <c r="P738" s="12" t="str">
        <f t="shared" si="135"/>
        <v>Jamicon R-13.0x18.0</v>
      </c>
      <c r="Q738" s="12" t="str">
        <f t="shared" si="140"/>
        <v>1800µF</v>
      </c>
      <c r="R738" s="12" t="str">
        <f t="shared" si="141"/>
        <v>10v</v>
      </c>
      <c r="S738" s="8" t="str">
        <f t="shared" si="136"/>
        <v>1800µF 10v - R12.5-18.0 Jamicon (WL)</v>
      </c>
      <c r="T738" s="8">
        <f t="shared" si="142"/>
        <v>1</v>
      </c>
      <c r="U738" s="8" t="b">
        <f>NOT(ISNA(MATCH($P738,Packages!$A:$A,0)))</f>
        <v>1</v>
      </c>
    </row>
    <row r="739" spans="1:21" hidden="1">
      <c r="A739" s="6" t="s">
        <v>47</v>
      </c>
      <c r="B739" s="6" t="s">
        <v>53</v>
      </c>
      <c r="C739" s="33">
        <v>2200</v>
      </c>
      <c r="D739" s="34">
        <v>10</v>
      </c>
      <c r="E739" s="6" t="s">
        <v>125</v>
      </c>
      <c r="F739" s="6" t="s">
        <v>59</v>
      </c>
      <c r="G739" s="6"/>
      <c r="H739" s="7" t="s">
        <v>141</v>
      </c>
      <c r="I739" s="7" t="str">
        <f t="shared" si="144"/>
        <v>JAMICON</v>
      </c>
      <c r="J739" s="7" t="str">
        <f t="shared" si="145"/>
        <v>2200µF 10v</v>
      </c>
      <c r="K739" s="7"/>
      <c r="L739" s="7" t="str">
        <f t="shared" si="143"/>
        <v>WL</v>
      </c>
      <c r="M739" s="31">
        <f t="shared" si="137"/>
        <v>10</v>
      </c>
      <c r="N739" s="31">
        <f t="shared" si="138"/>
        <v>28</v>
      </c>
      <c r="O739" s="8" t="str">
        <f t="shared" si="139"/>
        <v>Jamicon-WL</v>
      </c>
      <c r="P739" s="12" t="str">
        <f t="shared" si="135"/>
        <v>Jamicon R-10.0x28.0</v>
      </c>
      <c r="Q739" s="12" t="str">
        <f t="shared" si="140"/>
        <v>2200µF</v>
      </c>
      <c r="R739" s="12" t="str">
        <f t="shared" si="141"/>
        <v>10v</v>
      </c>
      <c r="S739" s="8" t="str">
        <f t="shared" si="136"/>
        <v>2200µF 10v - R10.0-28.0 Jamicon (WL)</v>
      </c>
      <c r="T739" s="8">
        <f t="shared" si="142"/>
        <v>1</v>
      </c>
      <c r="U739" s="8" t="b">
        <f>NOT(ISNA(MATCH($P739,Packages!$A:$A,0)))</f>
        <v>1</v>
      </c>
    </row>
    <row r="740" spans="1:21" hidden="1">
      <c r="A740" s="6" t="s">
        <v>47</v>
      </c>
      <c r="B740" s="6" t="s">
        <v>53</v>
      </c>
      <c r="C740" s="33">
        <v>2200</v>
      </c>
      <c r="D740" s="34">
        <v>10</v>
      </c>
      <c r="E740" s="6" t="s">
        <v>126</v>
      </c>
      <c r="F740" s="6" t="s">
        <v>59</v>
      </c>
      <c r="G740" s="6"/>
      <c r="H740" s="7" t="s">
        <v>141</v>
      </c>
      <c r="I740" s="7" t="str">
        <f t="shared" si="144"/>
        <v>JAMICON</v>
      </c>
      <c r="J740" s="7" t="str">
        <f t="shared" si="145"/>
        <v>2200µF 10v</v>
      </c>
      <c r="K740" s="7"/>
      <c r="L740" s="7" t="str">
        <f t="shared" si="143"/>
        <v>WL</v>
      </c>
      <c r="M740" s="31">
        <f t="shared" si="137"/>
        <v>16</v>
      </c>
      <c r="N740" s="31">
        <f t="shared" si="138"/>
        <v>15</v>
      </c>
      <c r="O740" s="8" t="str">
        <f t="shared" si="139"/>
        <v>Jamicon-WL</v>
      </c>
      <c r="P740" s="12" t="str">
        <f t="shared" si="135"/>
        <v>Jamicon R-16.0x15.0</v>
      </c>
      <c r="Q740" s="12" t="str">
        <f t="shared" si="140"/>
        <v>2200µF</v>
      </c>
      <c r="R740" s="12" t="str">
        <f t="shared" si="141"/>
        <v>10v</v>
      </c>
      <c r="S740" s="8" t="str">
        <f t="shared" si="136"/>
        <v>2200µF 10v - R16.0-15.0 Jamicon (WL)</v>
      </c>
      <c r="T740" s="8">
        <f t="shared" si="142"/>
        <v>1</v>
      </c>
      <c r="U740" s="8" t="b">
        <f>NOT(ISNA(MATCH($P740,Packages!$A:$A,0)))</f>
        <v>1</v>
      </c>
    </row>
    <row r="741" spans="1:21" hidden="1">
      <c r="A741" s="6" t="s">
        <v>47</v>
      </c>
      <c r="B741" s="6" t="s">
        <v>53</v>
      </c>
      <c r="C741" s="33">
        <v>2700</v>
      </c>
      <c r="D741" s="34">
        <v>10</v>
      </c>
      <c r="E741" s="6" t="s">
        <v>95</v>
      </c>
      <c r="F741" s="6" t="s">
        <v>59</v>
      </c>
      <c r="G741" s="6"/>
      <c r="H741" s="7" t="s">
        <v>141</v>
      </c>
      <c r="I741" s="7" t="str">
        <f t="shared" si="144"/>
        <v>JAMICON</v>
      </c>
      <c r="J741" s="7" t="str">
        <f t="shared" si="145"/>
        <v>2700µF 10v</v>
      </c>
      <c r="K741" s="7"/>
      <c r="L741" s="7" t="str">
        <f t="shared" si="143"/>
        <v>WL</v>
      </c>
      <c r="M741" s="31">
        <f t="shared" si="137"/>
        <v>12.5</v>
      </c>
      <c r="N741" s="31">
        <f t="shared" si="138"/>
        <v>20</v>
      </c>
      <c r="O741" s="8" t="str">
        <f t="shared" si="139"/>
        <v>Jamicon-WL</v>
      </c>
      <c r="P741" s="12" t="str">
        <f t="shared" si="135"/>
        <v>Jamicon R-13.0x20.0</v>
      </c>
      <c r="Q741" s="12" t="str">
        <f t="shared" si="140"/>
        <v>2700µF</v>
      </c>
      <c r="R741" s="12" t="str">
        <f t="shared" si="141"/>
        <v>10v</v>
      </c>
      <c r="S741" s="8" t="str">
        <f t="shared" si="136"/>
        <v>2700µF 10v - R12.5-20.0 Jamicon (WL)</v>
      </c>
      <c r="T741" s="8">
        <f t="shared" si="142"/>
        <v>1</v>
      </c>
      <c r="U741" s="8" t="b">
        <f>NOT(ISNA(MATCH($P741,Packages!$A:$A,0)))</f>
        <v>1</v>
      </c>
    </row>
    <row r="742" spans="1:21" hidden="1">
      <c r="A742" s="6" t="s">
        <v>47</v>
      </c>
      <c r="B742" s="6" t="s">
        <v>53</v>
      </c>
      <c r="C742" s="33">
        <v>2700</v>
      </c>
      <c r="D742" s="34">
        <v>10</v>
      </c>
      <c r="E742" s="6" t="s">
        <v>126</v>
      </c>
      <c r="F742" s="6" t="s">
        <v>59</v>
      </c>
      <c r="G742" s="6"/>
      <c r="H742" s="7" t="s">
        <v>141</v>
      </c>
      <c r="I742" s="7" t="str">
        <f t="shared" si="144"/>
        <v>JAMICON</v>
      </c>
      <c r="J742" s="7" t="str">
        <f t="shared" si="145"/>
        <v>2700µF 10v</v>
      </c>
      <c r="K742" s="7"/>
      <c r="L742" s="7" t="str">
        <f t="shared" si="143"/>
        <v>WL</v>
      </c>
      <c r="M742" s="31">
        <f t="shared" si="137"/>
        <v>16</v>
      </c>
      <c r="N742" s="31">
        <f t="shared" si="138"/>
        <v>15</v>
      </c>
      <c r="O742" s="8" t="str">
        <f t="shared" si="139"/>
        <v>Jamicon-WL</v>
      </c>
      <c r="P742" s="12" t="str">
        <f t="shared" si="135"/>
        <v>Jamicon R-16.0x15.0</v>
      </c>
      <c r="Q742" s="12" t="str">
        <f t="shared" si="140"/>
        <v>2700µF</v>
      </c>
      <c r="R742" s="12" t="str">
        <f t="shared" si="141"/>
        <v>10v</v>
      </c>
      <c r="S742" s="8" t="str">
        <f t="shared" si="136"/>
        <v>2700µF 10v - R16.0-15.0 Jamicon (WL)</v>
      </c>
      <c r="T742" s="8">
        <f t="shared" si="142"/>
        <v>1</v>
      </c>
      <c r="U742" s="8" t="b">
        <f>NOT(ISNA(MATCH($P742,Packages!$A:$A,0)))</f>
        <v>1</v>
      </c>
    </row>
    <row r="743" spans="1:21" hidden="1">
      <c r="A743" s="6" t="s">
        <v>47</v>
      </c>
      <c r="B743" s="6" t="s">
        <v>53</v>
      </c>
      <c r="C743" s="33">
        <v>3300</v>
      </c>
      <c r="D743" s="34">
        <v>10</v>
      </c>
      <c r="E743" s="6" t="s">
        <v>96</v>
      </c>
      <c r="F743" s="6" t="s">
        <v>59</v>
      </c>
      <c r="G743" s="6"/>
      <c r="H743" s="7" t="s">
        <v>141</v>
      </c>
      <c r="I743" s="7" t="str">
        <f t="shared" si="144"/>
        <v>JAMICON</v>
      </c>
      <c r="J743" s="7" t="str">
        <f t="shared" si="145"/>
        <v>3300µF 10v</v>
      </c>
      <c r="K743" s="7"/>
      <c r="L743" s="7" t="str">
        <f t="shared" si="143"/>
        <v>WL</v>
      </c>
      <c r="M743" s="31">
        <f t="shared" si="137"/>
        <v>12.5</v>
      </c>
      <c r="N743" s="31">
        <f t="shared" si="138"/>
        <v>25</v>
      </c>
      <c r="O743" s="8" t="str">
        <f t="shared" si="139"/>
        <v>Jamicon-WL</v>
      </c>
      <c r="P743" s="12" t="str">
        <f t="shared" si="135"/>
        <v>Jamicon R-13.0x25.0</v>
      </c>
      <c r="Q743" s="12" t="str">
        <f t="shared" si="140"/>
        <v>3300µF</v>
      </c>
      <c r="R743" s="12" t="str">
        <f t="shared" si="141"/>
        <v>10v</v>
      </c>
      <c r="S743" s="8" t="str">
        <f t="shared" si="136"/>
        <v>3300µF 10v - R12.5-25.0 Jamicon (WL)</v>
      </c>
      <c r="T743" s="8">
        <f t="shared" si="142"/>
        <v>1</v>
      </c>
      <c r="U743" s="8" t="b">
        <f>NOT(ISNA(MATCH($P743,Packages!$A:$A,0)))</f>
        <v>1</v>
      </c>
    </row>
    <row r="744" spans="1:21" hidden="1">
      <c r="A744" s="6" t="s">
        <v>47</v>
      </c>
      <c r="B744" s="6" t="s">
        <v>53</v>
      </c>
      <c r="C744" s="33">
        <v>3300</v>
      </c>
      <c r="D744" s="34">
        <v>10</v>
      </c>
      <c r="E744" s="6" t="s">
        <v>127</v>
      </c>
      <c r="F744" s="6" t="s">
        <v>59</v>
      </c>
      <c r="G744" s="6"/>
      <c r="H744" s="7" t="s">
        <v>141</v>
      </c>
      <c r="I744" s="7" t="str">
        <f t="shared" si="144"/>
        <v>JAMICON</v>
      </c>
      <c r="J744" s="7" t="str">
        <f t="shared" si="145"/>
        <v>3300µF 10v</v>
      </c>
      <c r="K744" s="7"/>
      <c r="L744" s="7" t="str">
        <f t="shared" si="143"/>
        <v>WL</v>
      </c>
      <c r="M744" s="31">
        <f t="shared" si="137"/>
        <v>18</v>
      </c>
      <c r="N744" s="31">
        <f t="shared" si="138"/>
        <v>15</v>
      </c>
      <c r="O744" s="8" t="str">
        <f t="shared" si="139"/>
        <v>Jamicon-WL</v>
      </c>
      <c r="P744" s="12" t="str">
        <f t="shared" si="135"/>
        <v>Jamicon R-18.0x15.0</v>
      </c>
      <c r="Q744" s="12" t="str">
        <f t="shared" si="140"/>
        <v>3300µF</v>
      </c>
      <c r="R744" s="12" t="str">
        <f t="shared" si="141"/>
        <v>10v</v>
      </c>
      <c r="S744" s="8" t="str">
        <f t="shared" si="136"/>
        <v>3300µF 10v - R18.0-15.0 Jamicon (WL)</v>
      </c>
      <c r="T744" s="8">
        <f t="shared" si="142"/>
        <v>1</v>
      </c>
      <c r="U744" s="8" t="b">
        <f>NOT(ISNA(MATCH($P744,Packages!$A:$A,0)))</f>
        <v>1</v>
      </c>
    </row>
    <row r="745" spans="1:21" hidden="1">
      <c r="A745" s="6" t="s">
        <v>47</v>
      </c>
      <c r="B745" s="6" t="s">
        <v>53</v>
      </c>
      <c r="C745" s="33">
        <v>3900</v>
      </c>
      <c r="D745" s="34">
        <v>10</v>
      </c>
      <c r="E745" s="6" t="s">
        <v>128</v>
      </c>
      <c r="F745" s="6" t="s">
        <v>59</v>
      </c>
      <c r="G745" s="6"/>
      <c r="H745" s="7" t="s">
        <v>141</v>
      </c>
      <c r="I745" s="7" t="str">
        <f t="shared" si="144"/>
        <v>JAMICON</v>
      </c>
      <c r="J745" s="7" t="str">
        <f t="shared" si="145"/>
        <v>3900µF 10v</v>
      </c>
      <c r="K745" s="7"/>
      <c r="L745" s="7" t="str">
        <f t="shared" si="143"/>
        <v>WL</v>
      </c>
      <c r="M745" s="31">
        <f t="shared" si="137"/>
        <v>12.5</v>
      </c>
      <c r="N745" s="31">
        <f t="shared" si="138"/>
        <v>30</v>
      </c>
      <c r="O745" s="8" t="str">
        <f t="shared" si="139"/>
        <v>Jamicon-WL</v>
      </c>
      <c r="P745" s="12" t="str">
        <f t="shared" si="135"/>
        <v>Jamicon R-13.0x30.0</v>
      </c>
      <c r="Q745" s="12" t="str">
        <f t="shared" si="140"/>
        <v>3900µF</v>
      </c>
      <c r="R745" s="12" t="str">
        <f t="shared" si="141"/>
        <v>10v</v>
      </c>
      <c r="S745" s="8" t="str">
        <f t="shared" si="136"/>
        <v>3900µF 10v - R12.5-30.0 Jamicon (WL)</v>
      </c>
      <c r="T745" s="8">
        <f t="shared" si="142"/>
        <v>1</v>
      </c>
      <c r="U745" s="8" t="b">
        <f>NOT(ISNA(MATCH($P745,Packages!$A:$A,0)))</f>
        <v>1</v>
      </c>
    </row>
    <row r="746" spans="1:21" hidden="1">
      <c r="A746" s="6" t="s">
        <v>47</v>
      </c>
      <c r="B746" s="6" t="s">
        <v>53</v>
      </c>
      <c r="C746" s="33">
        <v>3900</v>
      </c>
      <c r="D746" s="34">
        <v>10</v>
      </c>
      <c r="E746" s="6" t="s">
        <v>129</v>
      </c>
      <c r="F746" s="6" t="s">
        <v>59</v>
      </c>
      <c r="G746" s="6"/>
      <c r="H746" s="7" t="s">
        <v>141</v>
      </c>
      <c r="I746" s="7" t="str">
        <f t="shared" si="144"/>
        <v>JAMICON</v>
      </c>
      <c r="J746" s="7" t="str">
        <f t="shared" si="145"/>
        <v>3900µF 10v</v>
      </c>
      <c r="K746" s="7"/>
      <c r="L746" s="7" t="str">
        <f t="shared" si="143"/>
        <v>WL</v>
      </c>
      <c r="M746" s="31">
        <f t="shared" si="137"/>
        <v>16</v>
      </c>
      <c r="N746" s="31">
        <f t="shared" si="138"/>
        <v>20</v>
      </c>
      <c r="O746" s="8" t="str">
        <f t="shared" si="139"/>
        <v>Jamicon-WL</v>
      </c>
      <c r="P746" s="12" t="str">
        <f t="shared" si="135"/>
        <v>Jamicon R-16.0x20.0</v>
      </c>
      <c r="Q746" s="12" t="str">
        <f t="shared" si="140"/>
        <v>3900µF</v>
      </c>
      <c r="R746" s="12" t="str">
        <f t="shared" si="141"/>
        <v>10v</v>
      </c>
      <c r="S746" s="8" t="str">
        <f t="shared" si="136"/>
        <v>3900µF 10v - R16.0-20.0 Jamicon (WL)</v>
      </c>
      <c r="T746" s="8">
        <f t="shared" si="142"/>
        <v>1</v>
      </c>
      <c r="U746" s="8" t="b">
        <f>NOT(ISNA(MATCH($P746,Packages!$A:$A,0)))</f>
        <v>1</v>
      </c>
    </row>
    <row r="747" spans="1:21" hidden="1">
      <c r="A747" s="6" t="s">
        <v>47</v>
      </c>
      <c r="B747" s="6" t="s">
        <v>53</v>
      </c>
      <c r="C747" s="33">
        <v>4700</v>
      </c>
      <c r="D747" s="34">
        <v>10</v>
      </c>
      <c r="E747" s="6" t="s">
        <v>130</v>
      </c>
      <c r="F747" s="6" t="s">
        <v>59</v>
      </c>
      <c r="G747" s="6"/>
      <c r="H747" s="7" t="s">
        <v>141</v>
      </c>
      <c r="I747" s="7" t="str">
        <f t="shared" si="144"/>
        <v>JAMICON</v>
      </c>
      <c r="J747" s="7" t="str">
        <f t="shared" si="145"/>
        <v>4700µF 10v</v>
      </c>
      <c r="K747" s="7"/>
      <c r="L747" s="7" t="str">
        <f t="shared" si="143"/>
        <v>WL</v>
      </c>
      <c r="M747" s="31">
        <f t="shared" si="137"/>
        <v>12.5</v>
      </c>
      <c r="N747" s="31">
        <f t="shared" si="138"/>
        <v>35</v>
      </c>
      <c r="O747" s="8" t="str">
        <f t="shared" si="139"/>
        <v>Jamicon-WL</v>
      </c>
      <c r="P747" s="12" t="str">
        <f t="shared" si="135"/>
        <v>Jamicon R-13.0x35.0</v>
      </c>
      <c r="Q747" s="12" t="str">
        <f t="shared" si="140"/>
        <v>4700µF</v>
      </c>
      <c r="R747" s="12" t="str">
        <f t="shared" si="141"/>
        <v>10v</v>
      </c>
      <c r="S747" s="8" t="str">
        <f t="shared" si="136"/>
        <v>4700µF 10v - R12.5-35.0 Jamicon (WL)</v>
      </c>
      <c r="T747" s="8">
        <f t="shared" si="142"/>
        <v>1</v>
      </c>
      <c r="U747" s="8" t="b">
        <f>NOT(ISNA(MATCH($P747,Packages!$A:$A,0)))</f>
        <v>1</v>
      </c>
    </row>
    <row r="748" spans="1:21" hidden="1">
      <c r="A748" s="6" t="s">
        <v>47</v>
      </c>
      <c r="B748" s="6" t="s">
        <v>53</v>
      </c>
      <c r="C748" s="33">
        <v>4700</v>
      </c>
      <c r="D748" s="34">
        <v>10</v>
      </c>
      <c r="E748" s="6" t="s">
        <v>97</v>
      </c>
      <c r="F748" s="6" t="s">
        <v>59</v>
      </c>
      <c r="G748" s="6"/>
      <c r="H748" s="7" t="s">
        <v>141</v>
      </c>
      <c r="I748" s="7" t="str">
        <f t="shared" si="144"/>
        <v>JAMICON</v>
      </c>
      <c r="J748" s="7" t="str">
        <f t="shared" si="145"/>
        <v>4700µF 10v</v>
      </c>
      <c r="K748" s="7"/>
      <c r="L748" s="7" t="str">
        <f t="shared" si="143"/>
        <v>WL</v>
      </c>
      <c r="M748" s="31">
        <f t="shared" si="137"/>
        <v>16</v>
      </c>
      <c r="N748" s="31">
        <f t="shared" si="138"/>
        <v>25</v>
      </c>
      <c r="O748" s="8" t="str">
        <f t="shared" si="139"/>
        <v>Jamicon-WL</v>
      </c>
      <c r="P748" s="12" t="str">
        <f t="shared" si="135"/>
        <v>Jamicon R-16.0x25.0</v>
      </c>
      <c r="Q748" s="12" t="str">
        <f t="shared" si="140"/>
        <v>4700µF</v>
      </c>
      <c r="R748" s="12" t="str">
        <f t="shared" si="141"/>
        <v>10v</v>
      </c>
      <c r="S748" s="8" t="str">
        <f t="shared" si="136"/>
        <v>4700µF 10v - R16.0-25.0 Jamicon (WL)</v>
      </c>
      <c r="T748" s="8">
        <f t="shared" si="142"/>
        <v>1</v>
      </c>
      <c r="U748" s="8" t="b">
        <f>NOT(ISNA(MATCH($P748,Packages!$A:$A,0)))</f>
        <v>1</v>
      </c>
    </row>
    <row r="749" spans="1:21" hidden="1">
      <c r="A749" s="6" t="s">
        <v>47</v>
      </c>
      <c r="B749" s="6" t="s">
        <v>53</v>
      </c>
      <c r="C749" s="33">
        <v>5600</v>
      </c>
      <c r="D749" s="34">
        <v>10</v>
      </c>
      <c r="E749" s="6" t="s">
        <v>131</v>
      </c>
      <c r="F749" s="6" t="s">
        <v>59</v>
      </c>
      <c r="G749" s="6"/>
      <c r="H749" s="7" t="s">
        <v>141</v>
      </c>
      <c r="I749" s="7" t="str">
        <f t="shared" si="144"/>
        <v>JAMICON</v>
      </c>
      <c r="J749" s="7" t="str">
        <f t="shared" si="145"/>
        <v>5600µF 10v</v>
      </c>
      <c r="K749" s="7"/>
      <c r="L749" s="7" t="str">
        <f t="shared" si="143"/>
        <v>WL</v>
      </c>
      <c r="M749" s="31">
        <f t="shared" si="137"/>
        <v>12.5</v>
      </c>
      <c r="N749" s="31">
        <f t="shared" si="138"/>
        <v>40</v>
      </c>
      <c r="O749" s="8" t="str">
        <f t="shared" si="139"/>
        <v>Jamicon-WL</v>
      </c>
      <c r="P749" s="12" t="str">
        <f t="shared" si="135"/>
        <v>Jamicon R-13.0x40.0</v>
      </c>
      <c r="Q749" s="12" t="str">
        <f t="shared" si="140"/>
        <v>5600µF</v>
      </c>
      <c r="R749" s="12" t="str">
        <f t="shared" si="141"/>
        <v>10v</v>
      </c>
      <c r="S749" s="8" t="str">
        <f t="shared" si="136"/>
        <v>5600µF 10v - R12.5-40.0 Jamicon (WL)</v>
      </c>
      <c r="T749" s="8">
        <f t="shared" si="142"/>
        <v>1</v>
      </c>
      <c r="U749" s="8" t="b">
        <f>NOT(ISNA(MATCH($P749,Packages!$A:$A,0)))</f>
        <v>1</v>
      </c>
    </row>
    <row r="750" spans="1:21" hidden="1">
      <c r="A750" s="6" t="s">
        <v>47</v>
      </c>
      <c r="B750" s="6" t="s">
        <v>53</v>
      </c>
      <c r="C750" s="33">
        <v>5600</v>
      </c>
      <c r="D750" s="34">
        <v>10</v>
      </c>
      <c r="E750" s="6" t="s">
        <v>132</v>
      </c>
      <c r="F750" s="6" t="s">
        <v>59</v>
      </c>
      <c r="G750" s="6"/>
      <c r="H750" s="7" t="s">
        <v>141</v>
      </c>
      <c r="I750" s="7" t="str">
        <f t="shared" si="144"/>
        <v>JAMICON</v>
      </c>
      <c r="J750" s="7" t="str">
        <f t="shared" si="145"/>
        <v>5600µF 10v</v>
      </c>
      <c r="K750" s="7"/>
      <c r="L750" s="7" t="str">
        <f t="shared" si="143"/>
        <v>WL</v>
      </c>
      <c r="M750" s="31">
        <f t="shared" si="137"/>
        <v>18</v>
      </c>
      <c r="N750" s="31">
        <f t="shared" si="138"/>
        <v>20</v>
      </c>
      <c r="O750" s="8" t="str">
        <f t="shared" si="139"/>
        <v>Jamicon-WL</v>
      </c>
      <c r="P750" s="12" t="str">
        <f t="shared" si="135"/>
        <v>Jamicon R-18.0x20.0</v>
      </c>
      <c r="Q750" s="12" t="str">
        <f t="shared" si="140"/>
        <v>5600µF</v>
      </c>
      <c r="R750" s="12" t="str">
        <f t="shared" si="141"/>
        <v>10v</v>
      </c>
      <c r="S750" s="8" t="str">
        <f t="shared" si="136"/>
        <v>5600µF 10v - R18.0-20.0 Jamicon (WL)</v>
      </c>
      <c r="T750" s="8">
        <f t="shared" si="142"/>
        <v>1</v>
      </c>
      <c r="U750" s="8" t="b">
        <f>NOT(ISNA(MATCH($P750,Packages!$A:$A,0)))</f>
        <v>1</v>
      </c>
    </row>
    <row r="751" spans="1:21" hidden="1">
      <c r="A751" s="6" t="s">
        <v>47</v>
      </c>
      <c r="B751" s="6" t="s">
        <v>53</v>
      </c>
      <c r="C751" s="33">
        <v>6800</v>
      </c>
      <c r="D751" s="34">
        <v>10</v>
      </c>
      <c r="E751" s="6" t="s">
        <v>98</v>
      </c>
      <c r="F751" s="6" t="s">
        <v>59</v>
      </c>
      <c r="G751" s="6"/>
      <c r="H751" s="7" t="s">
        <v>141</v>
      </c>
      <c r="I751" s="7" t="str">
        <f t="shared" si="144"/>
        <v>JAMICON</v>
      </c>
      <c r="J751" s="7" t="str">
        <f t="shared" si="145"/>
        <v>6800µF 10v</v>
      </c>
      <c r="K751" s="7"/>
      <c r="L751" s="7" t="str">
        <f t="shared" si="143"/>
        <v>WL</v>
      </c>
      <c r="M751" s="31">
        <f t="shared" si="137"/>
        <v>16</v>
      </c>
      <c r="N751" s="31">
        <f t="shared" si="138"/>
        <v>31.5</v>
      </c>
      <c r="O751" s="8" t="str">
        <f t="shared" si="139"/>
        <v>Jamicon-WL</v>
      </c>
      <c r="P751" s="12" t="str">
        <f t="shared" si="135"/>
        <v>Jamicon R-16.0x32.0</v>
      </c>
      <c r="Q751" s="12" t="str">
        <f t="shared" si="140"/>
        <v>6800µF</v>
      </c>
      <c r="R751" s="12" t="str">
        <f t="shared" si="141"/>
        <v>10v</v>
      </c>
      <c r="S751" s="8" t="str">
        <f t="shared" si="136"/>
        <v>6800µF 10v - R16.0-31.5 Jamicon (WL)</v>
      </c>
      <c r="T751" s="8">
        <f t="shared" si="142"/>
        <v>1</v>
      </c>
      <c r="U751" s="8" t="b">
        <f>NOT(ISNA(MATCH($P751,Packages!$A:$A,0)))</f>
        <v>1</v>
      </c>
    </row>
    <row r="752" spans="1:21" hidden="1">
      <c r="A752" s="6" t="s">
        <v>47</v>
      </c>
      <c r="B752" s="6" t="s">
        <v>53</v>
      </c>
      <c r="C752" s="33">
        <v>6800</v>
      </c>
      <c r="D752" s="34">
        <v>10</v>
      </c>
      <c r="E752" s="6" t="s">
        <v>133</v>
      </c>
      <c r="F752" s="6" t="s">
        <v>59</v>
      </c>
      <c r="G752" s="6"/>
      <c r="H752" s="7" t="s">
        <v>141</v>
      </c>
      <c r="I752" s="7" t="str">
        <f t="shared" si="144"/>
        <v>JAMICON</v>
      </c>
      <c r="J752" s="7" t="str">
        <f t="shared" si="145"/>
        <v>6800µF 10v</v>
      </c>
      <c r="K752" s="7"/>
      <c r="L752" s="7" t="str">
        <f t="shared" si="143"/>
        <v>WL</v>
      </c>
      <c r="M752" s="31">
        <f t="shared" si="137"/>
        <v>18</v>
      </c>
      <c r="N752" s="31">
        <f t="shared" si="138"/>
        <v>25</v>
      </c>
      <c r="O752" s="8" t="str">
        <f t="shared" si="139"/>
        <v>Jamicon-WL</v>
      </c>
      <c r="P752" s="12" t="str">
        <f t="shared" si="135"/>
        <v>Jamicon R-18.0x25.0</v>
      </c>
      <c r="Q752" s="12" t="str">
        <f t="shared" si="140"/>
        <v>6800µF</v>
      </c>
      <c r="R752" s="12" t="str">
        <f t="shared" si="141"/>
        <v>10v</v>
      </c>
      <c r="S752" s="8" t="str">
        <f t="shared" si="136"/>
        <v>6800µF 10v - R18.0-25.0 Jamicon (WL)</v>
      </c>
      <c r="T752" s="8">
        <f t="shared" si="142"/>
        <v>1</v>
      </c>
      <c r="U752" s="8" t="b">
        <f>NOT(ISNA(MATCH($P752,Packages!$A:$A,0)))</f>
        <v>1</v>
      </c>
    </row>
    <row r="753" spans="1:21" hidden="1">
      <c r="A753" s="6" t="s">
        <v>47</v>
      </c>
      <c r="B753" s="6" t="s">
        <v>53</v>
      </c>
      <c r="C753" s="33">
        <v>8200</v>
      </c>
      <c r="D753" s="34">
        <v>10</v>
      </c>
      <c r="E753" s="6" t="s">
        <v>99</v>
      </c>
      <c r="F753" s="6" t="s">
        <v>59</v>
      </c>
      <c r="G753" s="6"/>
      <c r="H753" s="7" t="s">
        <v>141</v>
      </c>
      <c r="I753" s="7" t="str">
        <f t="shared" si="144"/>
        <v>JAMICON</v>
      </c>
      <c r="J753" s="7" t="str">
        <f t="shared" si="145"/>
        <v>8200µF 10v</v>
      </c>
      <c r="K753" s="7"/>
      <c r="L753" s="7" t="str">
        <f t="shared" si="143"/>
        <v>WL</v>
      </c>
      <c r="M753" s="31">
        <f t="shared" si="137"/>
        <v>16</v>
      </c>
      <c r="N753" s="31">
        <f t="shared" si="138"/>
        <v>35.5</v>
      </c>
      <c r="O753" s="8" t="str">
        <f t="shared" si="139"/>
        <v>Jamicon-WL</v>
      </c>
      <c r="P753" s="12" t="str">
        <f t="shared" si="135"/>
        <v>Jamicon R-16.0x36.0</v>
      </c>
      <c r="Q753" s="12" t="str">
        <f t="shared" si="140"/>
        <v>8200µF</v>
      </c>
      <c r="R753" s="12" t="str">
        <f t="shared" si="141"/>
        <v>10v</v>
      </c>
      <c r="S753" s="8" t="str">
        <f t="shared" si="136"/>
        <v>8200µF 10v - R16.0-35.5 Jamicon (WL)</v>
      </c>
      <c r="T753" s="8">
        <f t="shared" si="142"/>
        <v>1</v>
      </c>
      <c r="U753" s="8" t="b">
        <f>NOT(ISNA(MATCH($P753,Packages!$A:$A,0)))</f>
        <v>1</v>
      </c>
    </row>
    <row r="754" spans="1:21" hidden="1">
      <c r="A754" s="6" t="s">
        <v>47</v>
      </c>
      <c r="B754" s="6" t="s">
        <v>53</v>
      </c>
      <c r="C754" s="33">
        <v>8200</v>
      </c>
      <c r="D754" s="34">
        <v>10</v>
      </c>
      <c r="E754" s="6" t="s">
        <v>134</v>
      </c>
      <c r="F754" s="6" t="s">
        <v>59</v>
      </c>
      <c r="G754" s="6"/>
      <c r="H754" s="7" t="s">
        <v>141</v>
      </c>
      <c r="I754" s="7" t="str">
        <f t="shared" si="144"/>
        <v>JAMICON</v>
      </c>
      <c r="J754" s="7" t="str">
        <f t="shared" si="145"/>
        <v>8200µF 10v</v>
      </c>
      <c r="K754" s="7"/>
      <c r="L754" s="7" t="str">
        <f t="shared" si="143"/>
        <v>WL</v>
      </c>
      <c r="M754" s="31">
        <f t="shared" si="137"/>
        <v>18</v>
      </c>
      <c r="N754" s="31">
        <f t="shared" si="138"/>
        <v>31.5</v>
      </c>
      <c r="O754" s="8" t="str">
        <f t="shared" si="139"/>
        <v>Jamicon-WL</v>
      </c>
      <c r="P754" s="12" t="str">
        <f t="shared" si="135"/>
        <v>Jamicon R-18.0x32.0</v>
      </c>
      <c r="Q754" s="12" t="str">
        <f t="shared" si="140"/>
        <v>8200µF</v>
      </c>
      <c r="R754" s="12" t="str">
        <f t="shared" si="141"/>
        <v>10v</v>
      </c>
      <c r="S754" s="8" t="str">
        <f t="shared" si="136"/>
        <v>8200µF 10v - R18.0-31.5 Jamicon (WL)</v>
      </c>
      <c r="T754" s="8">
        <f t="shared" si="142"/>
        <v>1</v>
      </c>
      <c r="U754" s="8" t="b">
        <f>NOT(ISNA(MATCH($P754,Packages!$A:$A,0)))</f>
        <v>1</v>
      </c>
    </row>
    <row r="755" spans="1:21" hidden="1">
      <c r="A755" s="6" t="s">
        <v>47</v>
      </c>
      <c r="B755" s="6" t="s">
        <v>53</v>
      </c>
      <c r="C755" s="33">
        <v>10000</v>
      </c>
      <c r="D755" s="34">
        <v>10</v>
      </c>
      <c r="E755" s="6" t="s">
        <v>100</v>
      </c>
      <c r="F755" s="6" t="s">
        <v>59</v>
      </c>
      <c r="G755" s="6"/>
      <c r="H755" s="7" t="s">
        <v>141</v>
      </c>
      <c r="I755" s="7" t="str">
        <f t="shared" si="144"/>
        <v>JAMICON</v>
      </c>
      <c r="J755" s="7" t="str">
        <f t="shared" si="145"/>
        <v>10000µF 10v</v>
      </c>
      <c r="K755" s="7"/>
      <c r="L755" s="7" t="str">
        <f t="shared" si="143"/>
        <v>WL</v>
      </c>
      <c r="M755" s="31">
        <f t="shared" si="137"/>
        <v>18</v>
      </c>
      <c r="N755" s="31">
        <f t="shared" si="138"/>
        <v>35.5</v>
      </c>
      <c r="O755" s="8" t="str">
        <f t="shared" si="139"/>
        <v>Jamicon-WL</v>
      </c>
      <c r="P755" s="12" t="str">
        <f t="shared" si="135"/>
        <v>Jamicon R-18.0x36.0</v>
      </c>
      <c r="Q755" s="12" t="str">
        <f t="shared" si="140"/>
        <v>10000µF</v>
      </c>
      <c r="R755" s="12" t="str">
        <f t="shared" si="141"/>
        <v>10v</v>
      </c>
      <c r="S755" s="8" t="str">
        <f t="shared" si="136"/>
        <v>10000µF 10v - R18.0-35.5 Jamicon (WL)</v>
      </c>
      <c r="T755" s="8">
        <f t="shared" si="142"/>
        <v>1</v>
      </c>
      <c r="U755" s="8" t="b">
        <f>NOT(ISNA(MATCH($P755,Packages!$A:$A,0)))</f>
        <v>1</v>
      </c>
    </row>
    <row r="756" spans="1:21" hidden="1">
      <c r="A756" s="6" t="s">
        <v>47</v>
      </c>
      <c r="B756" s="6" t="s">
        <v>53</v>
      </c>
      <c r="C756" s="33">
        <v>56</v>
      </c>
      <c r="D756" s="34">
        <v>16</v>
      </c>
      <c r="E756" s="6" t="s">
        <v>68</v>
      </c>
      <c r="F756" s="6" t="s">
        <v>59</v>
      </c>
      <c r="G756" s="6"/>
      <c r="H756" s="7" t="s">
        <v>141</v>
      </c>
      <c r="I756" s="7" t="str">
        <f t="shared" si="144"/>
        <v>JAMICON</v>
      </c>
      <c r="J756" s="7" t="str">
        <f t="shared" si="145"/>
        <v>56µF 16v</v>
      </c>
      <c r="K756" s="7"/>
      <c r="L756" s="7" t="str">
        <f t="shared" si="143"/>
        <v>WL</v>
      </c>
      <c r="M756" s="31">
        <f t="shared" si="137"/>
        <v>5</v>
      </c>
      <c r="N756" s="31">
        <f t="shared" si="138"/>
        <v>11</v>
      </c>
      <c r="O756" s="8" t="str">
        <f t="shared" si="139"/>
        <v>Jamicon-WL</v>
      </c>
      <c r="P756" s="12" t="str">
        <f t="shared" si="135"/>
        <v>Jamicon R-05.0x11.0</v>
      </c>
      <c r="Q756" s="12" t="str">
        <f t="shared" si="140"/>
        <v>56µF</v>
      </c>
      <c r="R756" s="12" t="str">
        <f t="shared" si="141"/>
        <v>16v</v>
      </c>
      <c r="S756" s="8" t="str">
        <f t="shared" si="136"/>
        <v>56µF 16v - R05.0-11.0 Jamicon (WL)</v>
      </c>
      <c r="T756" s="8">
        <f t="shared" si="142"/>
        <v>1</v>
      </c>
      <c r="U756" s="8" t="b">
        <f>NOT(ISNA(MATCH($P756,Packages!$A:$A,0)))</f>
        <v>1</v>
      </c>
    </row>
    <row r="757" spans="1:21" hidden="1">
      <c r="A757" s="6" t="s">
        <v>47</v>
      </c>
      <c r="B757" s="6" t="s">
        <v>53</v>
      </c>
      <c r="C757" s="33">
        <v>68</v>
      </c>
      <c r="D757" s="34">
        <v>16</v>
      </c>
      <c r="E757" s="6" t="s">
        <v>68</v>
      </c>
      <c r="F757" s="6" t="s">
        <v>59</v>
      </c>
      <c r="G757" s="6"/>
      <c r="H757" s="7" t="s">
        <v>141</v>
      </c>
      <c r="I757" s="7" t="str">
        <f t="shared" si="144"/>
        <v>JAMICON</v>
      </c>
      <c r="J757" s="7" t="str">
        <f t="shared" si="145"/>
        <v>68µF 16v</v>
      </c>
      <c r="K757" s="7"/>
      <c r="L757" s="7" t="str">
        <f t="shared" si="143"/>
        <v>WL</v>
      </c>
      <c r="M757" s="31">
        <f t="shared" si="137"/>
        <v>5</v>
      </c>
      <c r="N757" s="31">
        <f t="shared" si="138"/>
        <v>11</v>
      </c>
      <c r="O757" s="8" t="str">
        <f t="shared" si="139"/>
        <v>Jamicon-WL</v>
      </c>
      <c r="P757" s="12" t="str">
        <f t="shared" si="135"/>
        <v>Jamicon R-05.0x11.0</v>
      </c>
      <c r="Q757" s="12" t="str">
        <f t="shared" si="140"/>
        <v>68µF</v>
      </c>
      <c r="R757" s="12" t="str">
        <f t="shared" si="141"/>
        <v>16v</v>
      </c>
      <c r="S757" s="8" t="str">
        <f t="shared" si="136"/>
        <v>68µF 16v - R05.0-11.0 Jamicon (WL)</v>
      </c>
      <c r="T757" s="8">
        <f t="shared" si="142"/>
        <v>1</v>
      </c>
      <c r="U757" s="8" t="b">
        <f>NOT(ISNA(MATCH($P757,Packages!$A:$A,0)))</f>
        <v>1</v>
      </c>
    </row>
    <row r="758" spans="1:21" hidden="1">
      <c r="A758" s="6" t="s">
        <v>47</v>
      </c>
      <c r="B758" s="6" t="s">
        <v>53</v>
      </c>
      <c r="C758" s="33">
        <v>82</v>
      </c>
      <c r="D758" s="34">
        <v>16</v>
      </c>
      <c r="E758" s="6" t="s">
        <v>68</v>
      </c>
      <c r="F758" s="6" t="s">
        <v>59</v>
      </c>
      <c r="G758" s="6"/>
      <c r="H758" s="7" t="s">
        <v>141</v>
      </c>
      <c r="I758" s="7" t="str">
        <f t="shared" si="144"/>
        <v>JAMICON</v>
      </c>
      <c r="J758" s="7" t="str">
        <f t="shared" si="145"/>
        <v>82µF 16v</v>
      </c>
      <c r="K758" s="7"/>
      <c r="L758" s="7" t="str">
        <f t="shared" si="143"/>
        <v>WL</v>
      </c>
      <c r="M758" s="31">
        <f t="shared" si="137"/>
        <v>5</v>
      </c>
      <c r="N758" s="31">
        <f t="shared" si="138"/>
        <v>11</v>
      </c>
      <c r="O758" s="8" t="str">
        <f t="shared" si="139"/>
        <v>Jamicon-WL</v>
      </c>
      <c r="P758" s="12" t="str">
        <f t="shared" si="135"/>
        <v>Jamicon R-05.0x11.0</v>
      </c>
      <c r="Q758" s="12" t="str">
        <f t="shared" si="140"/>
        <v>82µF</v>
      </c>
      <c r="R758" s="12" t="str">
        <f t="shared" si="141"/>
        <v>16v</v>
      </c>
      <c r="S758" s="8" t="str">
        <f t="shared" si="136"/>
        <v>82µF 16v - R05.0-11.0 Jamicon (WL)</v>
      </c>
      <c r="T758" s="8">
        <f t="shared" si="142"/>
        <v>1</v>
      </c>
      <c r="U758" s="8" t="b">
        <f>NOT(ISNA(MATCH($P758,Packages!$A:$A,0)))</f>
        <v>1</v>
      </c>
    </row>
    <row r="759" spans="1:21" hidden="1">
      <c r="A759" s="6" t="s">
        <v>47</v>
      </c>
      <c r="B759" s="6" t="s">
        <v>53</v>
      </c>
      <c r="C759" s="33">
        <v>100</v>
      </c>
      <c r="D759" s="34">
        <v>16</v>
      </c>
      <c r="E759" s="6" t="s">
        <v>68</v>
      </c>
      <c r="F759" s="6" t="s">
        <v>59</v>
      </c>
      <c r="G759" s="6"/>
      <c r="H759" s="7" t="s">
        <v>141</v>
      </c>
      <c r="I759" s="7" t="str">
        <f t="shared" si="144"/>
        <v>JAMICON</v>
      </c>
      <c r="J759" s="7" t="str">
        <f t="shared" si="145"/>
        <v>100µF 16v</v>
      </c>
      <c r="K759" s="7"/>
      <c r="L759" s="7" t="str">
        <f t="shared" si="143"/>
        <v>WL</v>
      </c>
      <c r="M759" s="31">
        <f t="shared" si="137"/>
        <v>5</v>
      </c>
      <c r="N759" s="31">
        <f t="shared" si="138"/>
        <v>11</v>
      </c>
      <c r="O759" s="8" t="str">
        <f t="shared" si="139"/>
        <v>Jamicon-WL</v>
      </c>
      <c r="P759" s="12" t="str">
        <f t="shared" si="135"/>
        <v>Jamicon R-05.0x11.0</v>
      </c>
      <c r="Q759" s="12" t="str">
        <f t="shared" si="140"/>
        <v>100µF</v>
      </c>
      <c r="R759" s="12" t="str">
        <f t="shared" si="141"/>
        <v>16v</v>
      </c>
      <c r="S759" s="8" t="str">
        <f t="shared" si="136"/>
        <v>100µF 16v - R05.0-11.0 Jamicon (WL)</v>
      </c>
      <c r="T759" s="8">
        <f t="shared" si="142"/>
        <v>1</v>
      </c>
      <c r="U759" s="8" t="b">
        <f>NOT(ISNA(MATCH($P759,Packages!$A:$A,0)))</f>
        <v>1</v>
      </c>
    </row>
    <row r="760" spans="1:21" hidden="1">
      <c r="A760" s="6" t="s">
        <v>47</v>
      </c>
      <c r="B760" s="6" t="s">
        <v>53</v>
      </c>
      <c r="C760" s="33">
        <v>120</v>
      </c>
      <c r="D760" s="34">
        <v>16</v>
      </c>
      <c r="E760" s="6" t="s">
        <v>118</v>
      </c>
      <c r="F760" s="6" t="s">
        <v>59</v>
      </c>
      <c r="G760" s="6"/>
      <c r="H760" s="7" t="s">
        <v>141</v>
      </c>
      <c r="I760" s="7" t="str">
        <f t="shared" si="144"/>
        <v>JAMICON</v>
      </c>
      <c r="J760" s="7" t="str">
        <f t="shared" si="145"/>
        <v>120µF 16v</v>
      </c>
      <c r="K760" s="7"/>
      <c r="L760" s="7" t="str">
        <f t="shared" si="143"/>
        <v>WL</v>
      </c>
      <c r="M760" s="31">
        <f t="shared" si="137"/>
        <v>5</v>
      </c>
      <c r="N760" s="31">
        <f t="shared" si="138"/>
        <v>15</v>
      </c>
      <c r="O760" s="8" t="str">
        <f t="shared" si="139"/>
        <v>Jamicon-WL</v>
      </c>
      <c r="P760" s="12" t="str">
        <f t="shared" si="135"/>
        <v>Jamicon R-05.0x15.0</v>
      </c>
      <c r="Q760" s="12" t="str">
        <f t="shared" si="140"/>
        <v>120µF</v>
      </c>
      <c r="R760" s="12" t="str">
        <f t="shared" si="141"/>
        <v>16v</v>
      </c>
      <c r="S760" s="8" t="str">
        <f t="shared" si="136"/>
        <v>120µF 16v - R05.0-15.0 Jamicon (WL)</v>
      </c>
      <c r="T760" s="8">
        <f t="shared" si="142"/>
        <v>1</v>
      </c>
      <c r="U760" s="8" t="b">
        <f>NOT(ISNA(MATCH($P760,Packages!$A:$A,0)))</f>
        <v>1</v>
      </c>
    </row>
    <row r="761" spans="1:21" hidden="1">
      <c r="A761" s="6" t="s">
        <v>47</v>
      </c>
      <c r="B761" s="6" t="s">
        <v>53</v>
      </c>
      <c r="C761" s="33">
        <v>120</v>
      </c>
      <c r="D761" s="34">
        <v>16</v>
      </c>
      <c r="E761" s="6" t="s">
        <v>69</v>
      </c>
      <c r="F761" s="6" t="s">
        <v>59</v>
      </c>
      <c r="G761" s="6"/>
      <c r="H761" s="7" t="s">
        <v>141</v>
      </c>
      <c r="I761" s="7" t="str">
        <f t="shared" si="144"/>
        <v>JAMICON</v>
      </c>
      <c r="J761" s="7" t="str">
        <f t="shared" si="145"/>
        <v>120µF 16v</v>
      </c>
      <c r="K761" s="7"/>
      <c r="L761" s="7" t="str">
        <f t="shared" si="143"/>
        <v>WL</v>
      </c>
      <c r="M761" s="31">
        <f t="shared" si="137"/>
        <v>6.3</v>
      </c>
      <c r="N761" s="31">
        <f t="shared" si="138"/>
        <v>11</v>
      </c>
      <c r="O761" s="8" t="str">
        <f t="shared" si="139"/>
        <v>Jamicon-WL</v>
      </c>
      <c r="P761" s="12" t="str">
        <f t="shared" si="135"/>
        <v>Jamicon R-06.0x11.0</v>
      </c>
      <c r="Q761" s="12" t="str">
        <f t="shared" si="140"/>
        <v>120µF</v>
      </c>
      <c r="R761" s="12" t="str">
        <f t="shared" si="141"/>
        <v>16v</v>
      </c>
      <c r="S761" s="8" t="str">
        <f t="shared" si="136"/>
        <v>120µF 16v - R06.3-11.0 Jamicon (WL)</v>
      </c>
      <c r="T761" s="8">
        <f t="shared" si="142"/>
        <v>1</v>
      </c>
      <c r="U761" s="8" t="b">
        <f>NOT(ISNA(MATCH($P761,Packages!$A:$A,0)))</f>
        <v>1</v>
      </c>
    </row>
    <row r="762" spans="1:21" hidden="1">
      <c r="A762" s="6" t="s">
        <v>47</v>
      </c>
      <c r="B762" s="6" t="s">
        <v>53</v>
      </c>
      <c r="C762" s="33">
        <v>150</v>
      </c>
      <c r="D762" s="34">
        <v>16</v>
      </c>
      <c r="E762" s="6" t="s">
        <v>118</v>
      </c>
      <c r="F762" s="6" t="s">
        <v>59</v>
      </c>
      <c r="G762" s="6"/>
      <c r="H762" s="7" t="s">
        <v>141</v>
      </c>
      <c r="I762" s="7" t="str">
        <f t="shared" si="144"/>
        <v>JAMICON</v>
      </c>
      <c r="J762" s="7" t="str">
        <f t="shared" si="145"/>
        <v>150µF 16v</v>
      </c>
      <c r="K762" s="7"/>
      <c r="L762" s="7" t="str">
        <f t="shared" si="143"/>
        <v>WL</v>
      </c>
      <c r="M762" s="31">
        <f t="shared" si="137"/>
        <v>5</v>
      </c>
      <c r="N762" s="31">
        <f t="shared" si="138"/>
        <v>15</v>
      </c>
      <c r="O762" s="8" t="str">
        <f t="shared" si="139"/>
        <v>Jamicon-WL</v>
      </c>
      <c r="P762" s="12" t="str">
        <f t="shared" si="135"/>
        <v>Jamicon R-05.0x15.0</v>
      </c>
      <c r="Q762" s="12" t="str">
        <f t="shared" si="140"/>
        <v>150µF</v>
      </c>
      <c r="R762" s="12" t="str">
        <f t="shared" si="141"/>
        <v>16v</v>
      </c>
      <c r="S762" s="8" t="str">
        <f t="shared" si="136"/>
        <v>150µF 16v - R05.0-15.0 Jamicon (WL)</v>
      </c>
      <c r="T762" s="8">
        <f t="shared" si="142"/>
        <v>1</v>
      </c>
      <c r="U762" s="8" t="b">
        <f>NOT(ISNA(MATCH($P762,Packages!$A:$A,0)))</f>
        <v>1</v>
      </c>
    </row>
    <row r="763" spans="1:21" hidden="1">
      <c r="A763" s="6" t="s">
        <v>47</v>
      </c>
      <c r="B763" s="6" t="s">
        <v>53</v>
      </c>
      <c r="C763" s="33">
        <v>150</v>
      </c>
      <c r="D763" s="34">
        <v>16</v>
      </c>
      <c r="E763" s="6" t="s">
        <v>69</v>
      </c>
      <c r="F763" s="6" t="s">
        <v>59</v>
      </c>
      <c r="G763" s="6"/>
      <c r="H763" s="7" t="s">
        <v>141</v>
      </c>
      <c r="I763" s="7" t="str">
        <f t="shared" si="144"/>
        <v>JAMICON</v>
      </c>
      <c r="J763" s="7" t="str">
        <f t="shared" si="145"/>
        <v>150µF 16v</v>
      </c>
      <c r="K763" s="7"/>
      <c r="L763" s="7" t="str">
        <f t="shared" si="143"/>
        <v>WL</v>
      </c>
      <c r="M763" s="31">
        <f t="shared" si="137"/>
        <v>6.3</v>
      </c>
      <c r="N763" s="31">
        <f t="shared" si="138"/>
        <v>11</v>
      </c>
      <c r="O763" s="8" t="str">
        <f t="shared" si="139"/>
        <v>Jamicon-WL</v>
      </c>
      <c r="P763" s="12" t="str">
        <f t="shared" si="135"/>
        <v>Jamicon R-06.0x11.0</v>
      </c>
      <c r="Q763" s="12" t="str">
        <f t="shared" si="140"/>
        <v>150µF</v>
      </c>
      <c r="R763" s="12" t="str">
        <f t="shared" si="141"/>
        <v>16v</v>
      </c>
      <c r="S763" s="8" t="str">
        <f t="shared" si="136"/>
        <v>150µF 16v - R06.3-11.0 Jamicon (WL)</v>
      </c>
      <c r="T763" s="8">
        <f t="shared" si="142"/>
        <v>1</v>
      </c>
      <c r="U763" s="8" t="b">
        <f>NOT(ISNA(MATCH($P763,Packages!$A:$A,0)))</f>
        <v>1</v>
      </c>
    </row>
    <row r="764" spans="1:21" hidden="1">
      <c r="A764" s="6" t="s">
        <v>47</v>
      </c>
      <c r="B764" s="6" t="s">
        <v>53</v>
      </c>
      <c r="C764" s="33">
        <v>180</v>
      </c>
      <c r="D764" s="34">
        <v>16</v>
      </c>
      <c r="E764" s="6" t="s">
        <v>118</v>
      </c>
      <c r="F764" s="6" t="s">
        <v>59</v>
      </c>
      <c r="G764" s="6"/>
      <c r="H764" s="7" t="s">
        <v>141</v>
      </c>
      <c r="I764" s="7" t="str">
        <f t="shared" si="144"/>
        <v>JAMICON</v>
      </c>
      <c r="J764" s="7" t="str">
        <f t="shared" si="145"/>
        <v>180µF 16v</v>
      </c>
      <c r="K764" s="7"/>
      <c r="L764" s="7" t="str">
        <f t="shared" si="143"/>
        <v>WL</v>
      </c>
      <c r="M764" s="31">
        <f t="shared" si="137"/>
        <v>5</v>
      </c>
      <c r="N764" s="31">
        <f t="shared" si="138"/>
        <v>15</v>
      </c>
      <c r="O764" s="8" t="str">
        <f t="shared" si="139"/>
        <v>Jamicon-WL</v>
      </c>
      <c r="P764" s="12" t="str">
        <f t="shared" si="135"/>
        <v>Jamicon R-05.0x15.0</v>
      </c>
      <c r="Q764" s="12" t="str">
        <f t="shared" si="140"/>
        <v>180µF</v>
      </c>
      <c r="R764" s="12" t="str">
        <f t="shared" si="141"/>
        <v>16v</v>
      </c>
      <c r="S764" s="8" t="str">
        <f t="shared" si="136"/>
        <v>180µF 16v - R05.0-15.0 Jamicon (WL)</v>
      </c>
      <c r="T764" s="8">
        <f t="shared" si="142"/>
        <v>1</v>
      </c>
      <c r="U764" s="8" t="b">
        <f>NOT(ISNA(MATCH($P764,Packages!$A:$A,0)))</f>
        <v>1</v>
      </c>
    </row>
    <row r="765" spans="1:21" hidden="1">
      <c r="A765" s="6" t="s">
        <v>47</v>
      </c>
      <c r="B765" s="6" t="s">
        <v>53</v>
      </c>
      <c r="C765" s="33">
        <v>180</v>
      </c>
      <c r="D765" s="34">
        <v>16</v>
      </c>
      <c r="E765" s="6" t="s">
        <v>69</v>
      </c>
      <c r="F765" s="6" t="s">
        <v>59</v>
      </c>
      <c r="G765" s="6"/>
      <c r="H765" s="7" t="s">
        <v>141</v>
      </c>
      <c r="I765" s="7" t="str">
        <f t="shared" si="144"/>
        <v>JAMICON</v>
      </c>
      <c r="J765" s="7" t="str">
        <f t="shared" si="145"/>
        <v>180µF 16v</v>
      </c>
      <c r="K765" s="7"/>
      <c r="L765" s="7" t="str">
        <f t="shared" si="143"/>
        <v>WL</v>
      </c>
      <c r="M765" s="31">
        <f t="shared" si="137"/>
        <v>6.3</v>
      </c>
      <c r="N765" s="31">
        <f t="shared" si="138"/>
        <v>11</v>
      </c>
      <c r="O765" s="8" t="str">
        <f t="shared" si="139"/>
        <v>Jamicon-WL</v>
      </c>
      <c r="P765" s="12" t="str">
        <f t="shared" si="135"/>
        <v>Jamicon R-06.0x11.0</v>
      </c>
      <c r="Q765" s="12" t="str">
        <f t="shared" si="140"/>
        <v>180µF</v>
      </c>
      <c r="R765" s="12" t="str">
        <f t="shared" si="141"/>
        <v>16v</v>
      </c>
      <c r="S765" s="8" t="str">
        <f t="shared" si="136"/>
        <v>180µF 16v - R06.3-11.0 Jamicon (WL)</v>
      </c>
      <c r="T765" s="8">
        <f t="shared" si="142"/>
        <v>1</v>
      </c>
      <c r="U765" s="8" t="b">
        <f>NOT(ISNA(MATCH($P765,Packages!$A:$A,0)))</f>
        <v>1</v>
      </c>
    </row>
    <row r="766" spans="1:21" hidden="1">
      <c r="A766" s="6" t="s">
        <v>47</v>
      </c>
      <c r="B766" s="6" t="s">
        <v>53</v>
      </c>
      <c r="C766" s="33">
        <v>220</v>
      </c>
      <c r="D766" s="34">
        <v>16</v>
      </c>
      <c r="E766" s="6" t="s">
        <v>118</v>
      </c>
      <c r="F766" s="6" t="s">
        <v>59</v>
      </c>
      <c r="G766" s="6"/>
      <c r="H766" s="7" t="s">
        <v>141</v>
      </c>
      <c r="I766" s="7" t="str">
        <f t="shared" si="144"/>
        <v>JAMICON</v>
      </c>
      <c r="J766" s="7" t="str">
        <f t="shared" si="145"/>
        <v>220µF 16v</v>
      </c>
      <c r="K766" s="7"/>
      <c r="L766" s="7" t="str">
        <f t="shared" si="143"/>
        <v>WL</v>
      </c>
      <c r="M766" s="31">
        <f t="shared" si="137"/>
        <v>5</v>
      </c>
      <c r="N766" s="31">
        <f t="shared" si="138"/>
        <v>15</v>
      </c>
      <c r="O766" s="8" t="str">
        <f t="shared" si="139"/>
        <v>Jamicon-WL</v>
      </c>
      <c r="P766" s="12" t="str">
        <f t="shared" si="135"/>
        <v>Jamicon R-05.0x15.0</v>
      </c>
      <c r="Q766" s="12" t="str">
        <f t="shared" si="140"/>
        <v>220µF</v>
      </c>
      <c r="R766" s="12" t="str">
        <f t="shared" si="141"/>
        <v>16v</v>
      </c>
      <c r="S766" s="8" t="str">
        <f t="shared" si="136"/>
        <v>220µF 16v - R05.0-15.0 Jamicon (WL)</v>
      </c>
      <c r="T766" s="8">
        <f t="shared" si="142"/>
        <v>1</v>
      </c>
      <c r="U766" s="8" t="b">
        <f>NOT(ISNA(MATCH($P766,Packages!$A:$A,0)))</f>
        <v>1</v>
      </c>
    </row>
    <row r="767" spans="1:21" hidden="1">
      <c r="A767" s="6" t="s">
        <v>47</v>
      </c>
      <c r="B767" s="6" t="s">
        <v>53</v>
      </c>
      <c r="C767" s="33">
        <v>220</v>
      </c>
      <c r="D767" s="34">
        <v>16</v>
      </c>
      <c r="E767" s="6" t="s">
        <v>69</v>
      </c>
      <c r="F767" s="6" t="s">
        <v>59</v>
      </c>
      <c r="G767" s="6"/>
      <c r="H767" s="7" t="s">
        <v>141</v>
      </c>
      <c r="I767" s="7" t="str">
        <f t="shared" si="144"/>
        <v>JAMICON</v>
      </c>
      <c r="J767" s="7" t="str">
        <f t="shared" si="145"/>
        <v>220µF 16v</v>
      </c>
      <c r="K767" s="7"/>
      <c r="L767" s="7" t="str">
        <f t="shared" si="143"/>
        <v>WL</v>
      </c>
      <c r="M767" s="31">
        <f t="shared" si="137"/>
        <v>6.3</v>
      </c>
      <c r="N767" s="31">
        <f t="shared" si="138"/>
        <v>11</v>
      </c>
      <c r="O767" s="8" t="str">
        <f t="shared" si="139"/>
        <v>Jamicon-WL</v>
      </c>
      <c r="P767" s="12" t="str">
        <f t="shared" si="135"/>
        <v>Jamicon R-06.0x11.0</v>
      </c>
      <c r="Q767" s="12" t="str">
        <f t="shared" si="140"/>
        <v>220µF</v>
      </c>
      <c r="R767" s="12" t="str">
        <f t="shared" si="141"/>
        <v>16v</v>
      </c>
      <c r="S767" s="8" t="str">
        <f t="shared" si="136"/>
        <v>220µF 16v - R06.3-11.0 Jamicon (WL)</v>
      </c>
      <c r="T767" s="8">
        <f t="shared" si="142"/>
        <v>1</v>
      </c>
      <c r="U767" s="8" t="b">
        <f>NOT(ISNA(MATCH($P767,Packages!$A:$A,0)))</f>
        <v>1</v>
      </c>
    </row>
    <row r="768" spans="1:21" hidden="1">
      <c r="A768" s="6" t="s">
        <v>47</v>
      </c>
      <c r="B768" s="6" t="s">
        <v>53</v>
      </c>
      <c r="C768" s="33">
        <v>270</v>
      </c>
      <c r="D768" s="34">
        <v>16</v>
      </c>
      <c r="E768" s="6" t="s">
        <v>119</v>
      </c>
      <c r="F768" s="6" t="s">
        <v>59</v>
      </c>
      <c r="G768" s="6"/>
      <c r="H768" s="7" t="s">
        <v>141</v>
      </c>
      <c r="I768" s="7" t="str">
        <f t="shared" si="144"/>
        <v>JAMICON</v>
      </c>
      <c r="J768" s="7" t="str">
        <f t="shared" si="145"/>
        <v>270µF 16v</v>
      </c>
      <c r="K768" s="7"/>
      <c r="L768" s="7" t="str">
        <f t="shared" si="143"/>
        <v>WL</v>
      </c>
      <c r="M768" s="31">
        <f t="shared" si="137"/>
        <v>6.3</v>
      </c>
      <c r="N768" s="31">
        <f t="shared" si="138"/>
        <v>15</v>
      </c>
      <c r="O768" s="8" t="str">
        <f t="shared" si="139"/>
        <v>Jamicon-WL</v>
      </c>
      <c r="P768" s="12" t="str">
        <f t="shared" si="135"/>
        <v>Jamicon R-06.0x15.0</v>
      </c>
      <c r="Q768" s="12" t="str">
        <f t="shared" si="140"/>
        <v>270µF</v>
      </c>
      <c r="R768" s="12" t="str">
        <f t="shared" si="141"/>
        <v>16v</v>
      </c>
      <c r="S768" s="8" t="str">
        <f t="shared" si="136"/>
        <v>270µF 16v - R06.3-15.0 Jamicon (WL)</v>
      </c>
      <c r="T768" s="8">
        <f t="shared" si="142"/>
        <v>1</v>
      </c>
      <c r="U768" s="8" t="b">
        <f>NOT(ISNA(MATCH($P768,Packages!$A:$A,0)))</f>
        <v>1</v>
      </c>
    </row>
    <row r="769" spans="1:21" hidden="1">
      <c r="A769" s="6" t="s">
        <v>47</v>
      </c>
      <c r="B769" s="6" t="s">
        <v>53</v>
      </c>
      <c r="C769" s="33">
        <v>270</v>
      </c>
      <c r="D769" s="34">
        <v>16</v>
      </c>
      <c r="E769" s="6" t="s">
        <v>108</v>
      </c>
      <c r="F769" s="6" t="s">
        <v>59</v>
      </c>
      <c r="G769" s="6"/>
      <c r="H769" s="7" t="s">
        <v>141</v>
      </c>
      <c r="I769" s="7" t="str">
        <f t="shared" si="144"/>
        <v>JAMICON</v>
      </c>
      <c r="J769" s="7" t="str">
        <f t="shared" si="145"/>
        <v>270µF 16v</v>
      </c>
      <c r="K769" s="7"/>
      <c r="L769" s="7" t="str">
        <f t="shared" si="143"/>
        <v>WL</v>
      </c>
      <c r="M769" s="31">
        <f t="shared" si="137"/>
        <v>8</v>
      </c>
      <c r="N769" s="31">
        <f t="shared" si="138"/>
        <v>11.5</v>
      </c>
      <c r="O769" s="8" t="str">
        <f t="shared" si="139"/>
        <v>Jamicon-WL</v>
      </c>
      <c r="P769" s="12" t="str">
        <f t="shared" si="135"/>
        <v>Jamicon R-08.0x12.0</v>
      </c>
      <c r="Q769" s="12" t="str">
        <f t="shared" si="140"/>
        <v>270µF</v>
      </c>
      <c r="R769" s="12" t="str">
        <f t="shared" si="141"/>
        <v>16v</v>
      </c>
      <c r="S769" s="8" t="str">
        <f t="shared" si="136"/>
        <v>270µF 16v - R08.0-11.5 Jamicon (WL)</v>
      </c>
      <c r="T769" s="8">
        <f t="shared" si="142"/>
        <v>1</v>
      </c>
      <c r="U769" s="8" t="b">
        <f>NOT(ISNA(MATCH($P769,Packages!$A:$A,0)))</f>
        <v>1</v>
      </c>
    </row>
    <row r="770" spans="1:21" hidden="1">
      <c r="A770" s="6" t="s">
        <v>47</v>
      </c>
      <c r="B770" s="6" t="s">
        <v>53</v>
      </c>
      <c r="C770" s="33">
        <v>330</v>
      </c>
      <c r="D770" s="34">
        <v>16</v>
      </c>
      <c r="E770" s="6" t="s">
        <v>119</v>
      </c>
      <c r="F770" s="6" t="s">
        <v>59</v>
      </c>
      <c r="G770" s="6"/>
      <c r="H770" s="7" t="s">
        <v>141</v>
      </c>
      <c r="I770" s="7" t="str">
        <f t="shared" si="144"/>
        <v>JAMICON</v>
      </c>
      <c r="J770" s="7" t="str">
        <f t="shared" si="145"/>
        <v>330µF 16v</v>
      </c>
      <c r="K770" s="7"/>
      <c r="L770" s="7" t="str">
        <f t="shared" si="143"/>
        <v>WL</v>
      </c>
      <c r="M770" s="31">
        <f t="shared" si="137"/>
        <v>6.3</v>
      </c>
      <c r="N770" s="31">
        <f t="shared" si="138"/>
        <v>15</v>
      </c>
      <c r="O770" s="8" t="str">
        <f t="shared" si="139"/>
        <v>Jamicon-WL</v>
      </c>
      <c r="P770" s="12" t="str">
        <f t="shared" ref="P770:P833" si="146">$A770&amp;" "&amp;LEFT($F770,1)&amp;"-"&amp;TEXT(ROUND($M770,0),"00.0")&amp;"x"&amp;TEXT(ROUND($N770,0),"00.0")</f>
        <v>Jamicon R-06.0x15.0</v>
      </c>
      <c r="Q770" s="12" t="str">
        <f t="shared" si="140"/>
        <v>330µF</v>
      </c>
      <c r="R770" s="12" t="str">
        <f t="shared" si="141"/>
        <v>16v</v>
      </c>
      <c r="S770" s="8" t="str">
        <f t="shared" ref="S770:S833" si="147">$Q770&amp;" "&amp;$R770&amp;" - "&amp;LEFT($F770,1)&amp;TEXT($M770,"00.0")&amp;"-"&amp;TEXT($N770,"00.0")&amp;" "&amp;A770&amp;" ("&amp;B770&amp;")"&amp;IF(ISBLANK($G770),""," "&amp;$G770)</f>
        <v>330µF 16v - R06.3-15.0 Jamicon (WL)</v>
      </c>
      <c r="T770" s="8">
        <f t="shared" si="142"/>
        <v>1</v>
      </c>
      <c r="U770" s="8" t="b">
        <f>NOT(ISNA(MATCH($P770,Packages!$A:$A,0)))</f>
        <v>1</v>
      </c>
    </row>
    <row r="771" spans="1:21" hidden="1">
      <c r="A771" s="6" t="s">
        <v>47</v>
      </c>
      <c r="B771" s="6" t="s">
        <v>53</v>
      </c>
      <c r="C771" s="33">
        <v>330</v>
      </c>
      <c r="D771" s="34">
        <v>16</v>
      </c>
      <c r="E771" s="6" t="s">
        <v>108</v>
      </c>
      <c r="F771" s="6" t="s">
        <v>59</v>
      </c>
      <c r="G771" s="6"/>
      <c r="H771" s="7" t="s">
        <v>141</v>
      </c>
      <c r="I771" s="7" t="str">
        <f t="shared" si="144"/>
        <v>JAMICON</v>
      </c>
      <c r="J771" s="7" t="str">
        <f t="shared" si="145"/>
        <v>330µF 16v</v>
      </c>
      <c r="K771" s="7"/>
      <c r="L771" s="7" t="str">
        <f t="shared" si="143"/>
        <v>WL</v>
      </c>
      <c r="M771" s="31">
        <f t="shared" ref="M771:M834" si="148">VALUE(LEFT($E771,SEARCH("x",$E771)-1))</f>
        <v>8</v>
      </c>
      <c r="N771" s="31">
        <f t="shared" ref="N771:N834" si="149">VALUE(RIGHT($E771,LEN($E771)-SEARCH("x",$E771)))</f>
        <v>11.5</v>
      </c>
      <c r="O771" s="8" t="str">
        <f t="shared" ref="O771:O834" si="150">$A771&amp;"-"&amp;$B771</f>
        <v>Jamicon-WL</v>
      </c>
      <c r="P771" s="12" t="str">
        <f t="shared" si="146"/>
        <v>Jamicon R-08.0x12.0</v>
      </c>
      <c r="Q771" s="12" t="str">
        <f t="shared" ref="Q771:Q834" si="151">TEXT($C771,"General"&amp;CHAR(34)&amp;"µF"&amp;CHAR(34))</f>
        <v>330µF</v>
      </c>
      <c r="R771" s="12" t="str">
        <f t="shared" ref="R771:R834" si="152">TEXT($D771,"General"&amp;CHAR(34)&amp;"v"&amp;CHAR(34))</f>
        <v>16v</v>
      </c>
      <c r="S771" s="8" t="str">
        <f t="shared" si="147"/>
        <v>330µF 16v - R08.0-11.5 Jamicon (WL)</v>
      </c>
      <c r="T771" s="8">
        <f t="shared" ref="T771:T834" si="153">COUNTIF($S:$S,$S771)</f>
        <v>1</v>
      </c>
      <c r="U771" s="8" t="b">
        <f>NOT(ISNA(MATCH($P771,Packages!$A:$A,0)))</f>
        <v>1</v>
      </c>
    </row>
    <row r="772" spans="1:21" hidden="1">
      <c r="A772" s="6" t="s">
        <v>47</v>
      </c>
      <c r="B772" s="6" t="s">
        <v>53</v>
      </c>
      <c r="C772" s="33">
        <v>390</v>
      </c>
      <c r="D772" s="34">
        <v>16</v>
      </c>
      <c r="E772" s="6" t="s">
        <v>120</v>
      </c>
      <c r="F772" s="6" t="s">
        <v>59</v>
      </c>
      <c r="G772" s="6"/>
      <c r="H772" s="7" t="s">
        <v>141</v>
      </c>
      <c r="I772" s="7" t="str">
        <f t="shared" si="144"/>
        <v>JAMICON</v>
      </c>
      <c r="J772" s="7" t="str">
        <f t="shared" si="145"/>
        <v>390µF 16v</v>
      </c>
      <c r="K772" s="7"/>
      <c r="L772" s="7" t="str">
        <f t="shared" si="143"/>
        <v>WL</v>
      </c>
      <c r="M772" s="31">
        <f t="shared" si="148"/>
        <v>8</v>
      </c>
      <c r="N772" s="31">
        <f t="shared" si="149"/>
        <v>15</v>
      </c>
      <c r="O772" s="8" t="str">
        <f t="shared" si="150"/>
        <v>Jamicon-WL</v>
      </c>
      <c r="P772" s="12" t="str">
        <f t="shared" si="146"/>
        <v>Jamicon R-08.0x15.0</v>
      </c>
      <c r="Q772" s="12" t="str">
        <f t="shared" si="151"/>
        <v>390µF</v>
      </c>
      <c r="R772" s="12" t="str">
        <f t="shared" si="152"/>
        <v>16v</v>
      </c>
      <c r="S772" s="8" t="str">
        <f t="shared" si="147"/>
        <v>390µF 16v - R08.0-15.0 Jamicon (WL)</v>
      </c>
      <c r="T772" s="8">
        <f t="shared" si="153"/>
        <v>1</v>
      </c>
      <c r="U772" s="8" t="b">
        <f>NOT(ISNA(MATCH($P772,Packages!$A:$A,0)))</f>
        <v>1</v>
      </c>
    </row>
    <row r="773" spans="1:21" hidden="1">
      <c r="A773" s="6" t="s">
        <v>47</v>
      </c>
      <c r="B773" s="6" t="s">
        <v>53</v>
      </c>
      <c r="C773" s="33">
        <v>390</v>
      </c>
      <c r="D773" s="34">
        <v>16</v>
      </c>
      <c r="E773" s="6" t="s">
        <v>92</v>
      </c>
      <c r="F773" s="6" t="s">
        <v>59</v>
      </c>
      <c r="G773" s="6"/>
      <c r="H773" s="7" t="s">
        <v>141</v>
      </c>
      <c r="I773" s="7" t="str">
        <f t="shared" si="144"/>
        <v>JAMICON</v>
      </c>
      <c r="J773" s="7" t="str">
        <f t="shared" si="145"/>
        <v>390µF 16v</v>
      </c>
      <c r="K773" s="7"/>
      <c r="L773" s="7" t="str">
        <f t="shared" si="143"/>
        <v>WL</v>
      </c>
      <c r="M773" s="31">
        <f t="shared" si="148"/>
        <v>10</v>
      </c>
      <c r="N773" s="31">
        <f t="shared" si="149"/>
        <v>12.5</v>
      </c>
      <c r="O773" s="8" t="str">
        <f t="shared" si="150"/>
        <v>Jamicon-WL</v>
      </c>
      <c r="P773" s="12" t="str">
        <f t="shared" si="146"/>
        <v>Jamicon R-10.0x13.0</v>
      </c>
      <c r="Q773" s="12" t="str">
        <f t="shared" si="151"/>
        <v>390µF</v>
      </c>
      <c r="R773" s="12" t="str">
        <f t="shared" si="152"/>
        <v>16v</v>
      </c>
      <c r="S773" s="8" t="str">
        <f t="shared" si="147"/>
        <v>390µF 16v - R10.0-12.5 Jamicon (WL)</v>
      </c>
      <c r="T773" s="8">
        <f t="shared" si="153"/>
        <v>1</v>
      </c>
      <c r="U773" s="8" t="b">
        <f>NOT(ISNA(MATCH($P773,Packages!$A:$A,0)))</f>
        <v>1</v>
      </c>
    </row>
    <row r="774" spans="1:21" hidden="1">
      <c r="A774" s="6" t="s">
        <v>47</v>
      </c>
      <c r="B774" s="6" t="s">
        <v>53</v>
      </c>
      <c r="C774" s="33">
        <v>470</v>
      </c>
      <c r="D774" s="34">
        <v>16</v>
      </c>
      <c r="E774" s="6" t="s">
        <v>120</v>
      </c>
      <c r="F774" s="6" t="s">
        <v>59</v>
      </c>
      <c r="G774" s="6"/>
      <c r="H774" s="7" t="s">
        <v>141</v>
      </c>
      <c r="I774" s="7" t="str">
        <f t="shared" si="144"/>
        <v>JAMICON</v>
      </c>
      <c r="J774" s="7" t="str">
        <f t="shared" si="145"/>
        <v>470µF 16v</v>
      </c>
      <c r="K774" s="7"/>
      <c r="L774" s="7" t="str">
        <f t="shared" si="143"/>
        <v>WL</v>
      </c>
      <c r="M774" s="31">
        <f t="shared" si="148"/>
        <v>8</v>
      </c>
      <c r="N774" s="31">
        <f t="shared" si="149"/>
        <v>15</v>
      </c>
      <c r="O774" s="8" t="str">
        <f t="shared" si="150"/>
        <v>Jamicon-WL</v>
      </c>
      <c r="P774" s="12" t="str">
        <f t="shared" si="146"/>
        <v>Jamicon R-08.0x15.0</v>
      </c>
      <c r="Q774" s="12" t="str">
        <f t="shared" si="151"/>
        <v>470µF</v>
      </c>
      <c r="R774" s="12" t="str">
        <f t="shared" si="152"/>
        <v>16v</v>
      </c>
      <c r="S774" s="8" t="str">
        <f t="shared" si="147"/>
        <v>470µF 16v - R08.0-15.0 Jamicon (WL)</v>
      </c>
      <c r="T774" s="8">
        <f t="shared" si="153"/>
        <v>1</v>
      </c>
      <c r="U774" s="8" t="b">
        <f>NOT(ISNA(MATCH($P774,Packages!$A:$A,0)))</f>
        <v>1</v>
      </c>
    </row>
    <row r="775" spans="1:21" hidden="1">
      <c r="A775" s="6" t="s">
        <v>47</v>
      </c>
      <c r="B775" s="6" t="s">
        <v>53</v>
      </c>
      <c r="C775" s="33">
        <v>470</v>
      </c>
      <c r="D775" s="34">
        <v>16</v>
      </c>
      <c r="E775" s="6" t="s">
        <v>92</v>
      </c>
      <c r="F775" s="6" t="s">
        <v>59</v>
      </c>
      <c r="G775" s="6"/>
      <c r="H775" s="7" t="s">
        <v>141</v>
      </c>
      <c r="I775" s="7" t="str">
        <f t="shared" si="144"/>
        <v>JAMICON</v>
      </c>
      <c r="J775" s="7" t="str">
        <f t="shared" si="145"/>
        <v>470µF 16v</v>
      </c>
      <c r="K775" s="7"/>
      <c r="L775" s="7" t="str">
        <f t="shared" si="143"/>
        <v>WL</v>
      </c>
      <c r="M775" s="31">
        <f t="shared" si="148"/>
        <v>10</v>
      </c>
      <c r="N775" s="31">
        <f t="shared" si="149"/>
        <v>12.5</v>
      </c>
      <c r="O775" s="8" t="str">
        <f t="shared" si="150"/>
        <v>Jamicon-WL</v>
      </c>
      <c r="P775" s="12" t="str">
        <f t="shared" si="146"/>
        <v>Jamicon R-10.0x13.0</v>
      </c>
      <c r="Q775" s="12" t="str">
        <f t="shared" si="151"/>
        <v>470µF</v>
      </c>
      <c r="R775" s="12" t="str">
        <f t="shared" si="152"/>
        <v>16v</v>
      </c>
      <c r="S775" s="8" t="str">
        <f t="shared" si="147"/>
        <v>470µF 16v - R10.0-12.5 Jamicon (WL)</v>
      </c>
      <c r="T775" s="8">
        <f t="shared" si="153"/>
        <v>1</v>
      </c>
      <c r="U775" s="8" t="b">
        <f>NOT(ISNA(MATCH($P775,Packages!$A:$A,0)))</f>
        <v>1</v>
      </c>
    </row>
    <row r="776" spans="1:21" hidden="1">
      <c r="A776" s="6" t="s">
        <v>47</v>
      </c>
      <c r="B776" s="6" t="s">
        <v>53</v>
      </c>
      <c r="C776" s="33">
        <v>560</v>
      </c>
      <c r="D776" s="34">
        <v>16</v>
      </c>
      <c r="E776" s="6" t="s">
        <v>121</v>
      </c>
      <c r="F776" s="6" t="s">
        <v>59</v>
      </c>
      <c r="G776" s="6"/>
      <c r="H776" s="7" t="s">
        <v>141</v>
      </c>
      <c r="I776" s="7" t="str">
        <f t="shared" si="144"/>
        <v>JAMICON</v>
      </c>
      <c r="J776" s="7" t="str">
        <f t="shared" si="145"/>
        <v>560µF 16v</v>
      </c>
      <c r="K776" s="7"/>
      <c r="L776" s="7" t="str">
        <f t="shared" si="143"/>
        <v>WL</v>
      </c>
      <c r="M776" s="31">
        <f t="shared" si="148"/>
        <v>8</v>
      </c>
      <c r="N776" s="31">
        <f t="shared" si="149"/>
        <v>20</v>
      </c>
      <c r="O776" s="8" t="str">
        <f t="shared" si="150"/>
        <v>Jamicon-WL</v>
      </c>
      <c r="P776" s="12" t="str">
        <f t="shared" si="146"/>
        <v>Jamicon R-08.0x20.0</v>
      </c>
      <c r="Q776" s="12" t="str">
        <f t="shared" si="151"/>
        <v>560µF</v>
      </c>
      <c r="R776" s="12" t="str">
        <f t="shared" si="152"/>
        <v>16v</v>
      </c>
      <c r="S776" s="8" t="str">
        <f t="shared" si="147"/>
        <v>560µF 16v - R08.0-20.0 Jamicon (WL)</v>
      </c>
      <c r="T776" s="8">
        <f t="shared" si="153"/>
        <v>1</v>
      </c>
      <c r="U776" s="8" t="b">
        <f>NOT(ISNA(MATCH($P776,Packages!$A:$A,0)))</f>
        <v>1</v>
      </c>
    </row>
    <row r="777" spans="1:21" hidden="1">
      <c r="A777" s="6" t="s">
        <v>47</v>
      </c>
      <c r="B777" s="6" t="s">
        <v>53</v>
      </c>
      <c r="C777" s="33">
        <v>560</v>
      </c>
      <c r="D777" s="34">
        <v>16</v>
      </c>
      <c r="E777" s="6" t="s">
        <v>74</v>
      </c>
      <c r="F777" s="6" t="s">
        <v>59</v>
      </c>
      <c r="G777" s="6"/>
      <c r="H777" s="7" t="s">
        <v>141</v>
      </c>
      <c r="I777" s="7" t="str">
        <f t="shared" si="144"/>
        <v>JAMICON</v>
      </c>
      <c r="J777" s="7" t="str">
        <f t="shared" si="145"/>
        <v>560µF 16v</v>
      </c>
      <c r="K777" s="7"/>
      <c r="L777" s="7" t="str">
        <f t="shared" si="143"/>
        <v>WL</v>
      </c>
      <c r="M777" s="31">
        <f t="shared" si="148"/>
        <v>10</v>
      </c>
      <c r="N777" s="31">
        <f t="shared" si="149"/>
        <v>16</v>
      </c>
      <c r="O777" s="8" t="str">
        <f t="shared" si="150"/>
        <v>Jamicon-WL</v>
      </c>
      <c r="P777" s="12" t="str">
        <f t="shared" si="146"/>
        <v>Jamicon R-10.0x16.0</v>
      </c>
      <c r="Q777" s="12" t="str">
        <f t="shared" si="151"/>
        <v>560µF</v>
      </c>
      <c r="R777" s="12" t="str">
        <f t="shared" si="152"/>
        <v>16v</v>
      </c>
      <c r="S777" s="8" t="str">
        <f t="shared" si="147"/>
        <v>560µF 16v - R10.0-16.0 Jamicon (WL)</v>
      </c>
      <c r="T777" s="8">
        <f t="shared" si="153"/>
        <v>1</v>
      </c>
      <c r="U777" s="8" t="b">
        <f>NOT(ISNA(MATCH($P777,Packages!$A:$A,0)))</f>
        <v>1</v>
      </c>
    </row>
    <row r="778" spans="1:21" hidden="1">
      <c r="A778" s="6" t="s">
        <v>47</v>
      </c>
      <c r="B778" s="6" t="s">
        <v>53</v>
      </c>
      <c r="C778" s="33">
        <v>680</v>
      </c>
      <c r="D778" s="34">
        <v>16</v>
      </c>
      <c r="E778" s="6" t="s">
        <v>121</v>
      </c>
      <c r="F778" s="6" t="s">
        <v>59</v>
      </c>
      <c r="G778" s="6"/>
      <c r="H778" s="7" t="s">
        <v>141</v>
      </c>
      <c r="I778" s="7" t="str">
        <f t="shared" si="144"/>
        <v>JAMICON</v>
      </c>
      <c r="J778" s="7" t="str">
        <f t="shared" si="145"/>
        <v>680µF 16v</v>
      </c>
      <c r="K778" s="7"/>
      <c r="L778" s="7" t="str">
        <f t="shared" si="143"/>
        <v>WL</v>
      </c>
      <c r="M778" s="31">
        <f t="shared" si="148"/>
        <v>8</v>
      </c>
      <c r="N778" s="31">
        <f t="shared" si="149"/>
        <v>20</v>
      </c>
      <c r="O778" s="8" t="str">
        <f t="shared" si="150"/>
        <v>Jamicon-WL</v>
      </c>
      <c r="P778" s="12" t="str">
        <f t="shared" si="146"/>
        <v>Jamicon R-08.0x20.0</v>
      </c>
      <c r="Q778" s="12" t="str">
        <f t="shared" si="151"/>
        <v>680µF</v>
      </c>
      <c r="R778" s="12" t="str">
        <f t="shared" si="152"/>
        <v>16v</v>
      </c>
      <c r="S778" s="8" t="str">
        <f t="shared" si="147"/>
        <v>680µF 16v - R08.0-20.0 Jamicon (WL)</v>
      </c>
      <c r="T778" s="8">
        <f t="shared" si="153"/>
        <v>1</v>
      </c>
      <c r="U778" s="8" t="b">
        <f>NOT(ISNA(MATCH($P778,Packages!$A:$A,0)))</f>
        <v>1</v>
      </c>
    </row>
    <row r="779" spans="1:21" hidden="1">
      <c r="A779" s="6" t="s">
        <v>47</v>
      </c>
      <c r="B779" s="6" t="s">
        <v>53</v>
      </c>
      <c r="C779" s="33">
        <v>680</v>
      </c>
      <c r="D779" s="34">
        <v>16</v>
      </c>
      <c r="E779" s="6" t="s">
        <v>74</v>
      </c>
      <c r="F779" s="6" t="s">
        <v>59</v>
      </c>
      <c r="G779" s="6"/>
      <c r="H779" s="7" t="s">
        <v>141</v>
      </c>
      <c r="I779" s="7" t="str">
        <f t="shared" si="144"/>
        <v>JAMICON</v>
      </c>
      <c r="J779" s="7" t="str">
        <f t="shared" si="145"/>
        <v>680µF 16v</v>
      </c>
      <c r="K779" s="7"/>
      <c r="L779" s="7" t="str">
        <f t="shared" si="143"/>
        <v>WL</v>
      </c>
      <c r="M779" s="31">
        <f t="shared" si="148"/>
        <v>10</v>
      </c>
      <c r="N779" s="31">
        <f t="shared" si="149"/>
        <v>16</v>
      </c>
      <c r="O779" s="8" t="str">
        <f t="shared" si="150"/>
        <v>Jamicon-WL</v>
      </c>
      <c r="P779" s="12" t="str">
        <f t="shared" si="146"/>
        <v>Jamicon R-10.0x16.0</v>
      </c>
      <c r="Q779" s="12" t="str">
        <f t="shared" si="151"/>
        <v>680µF</v>
      </c>
      <c r="R779" s="12" t="str">
        <f t="shared" si="152"/>
        <v>16v</v>
      </c>
      <c r="S779" s="8" t="str">
        <f t="shared" si="147"/>
        <v>680µF 16v - R10.0-16.0 Jamicon (WL)</v>
      </c>
      <c r="T779" s="8">
        <f t="shared" si="153"/>
        <v>1</v>
      </c>
      <c r="U779" s="8" t="b">
        <f>NOT(ISNA(MATCH($P779,Packages!$A:$A,0)))</f>
        <v>1</v>
      </c>
    </row>
    <row r="780" spans="1:21" hidden="1">
      <c r="A780" s="6" t="s">
        <v>47</v>
      </c>
      <c r="B780" s="6" t="s">
        <v>53</v>
      </c>
      <c r="C780" s="33">
        <v>820</v>
      </c>
      <c r="D780" s="34">
        <v>16</v>
      </c>
      <c r="E780" s="6" t="s">
        <v>121</v>
      </c>
      <c r="F780" s="6" t="s">
        <v>59</v>
      </c>
      <c r="G780" s="6"/>
      <c r="H780" s="7" t="s">
        <v>141</v>
      </c>
      <c r="I780" s="7" t="str">
        <f t="shared" si="144"/>
        <v>JAMICON</v>
      </c>
      <c r="J780" s="7" t="str">
        <f t="shared" si="145"/>
        <v>820µF 16v</v>
      </c>
      <c r="K780" s="7"/>
      <c r="L780" s="7" t="str">
        <f t="shared" si="143"/>
        <v>WL</v>
      </c>
      <c r="M780" s="31">
        <f t="shared" si="148"/>
        <v>8</v>
      </c>
      <c r="N780" s="31">
        <f t="shared" si="149"/>
        <v>20</v>
      </c>
      <c r="O780" s="8" t="str">
        <f t="shared" si="150"/>
        <v>Jamicon-WL</v>
      </c>
      <c r="P780" s="12" t="str">
        <f t="shared" si="146"/>
        <v>Jamicon R-08.0x20.0</v>
      </c>
      <c r="Q780" s="12" t="str">
        <f t="shared" si="151"/>
        <v>820µF</v>
      </c>
      <c r="R780" s="12" t="str">
        <f t="shared" si="152"/>
        <v>16v</v>
      </c>
      <c r="S780" s="8" t="str">
        <f t="shared" si="147"/>
        <v>820µF 16v - R08.0-20.0 Jamicon (WL)</v>
      </c>
      <c r="T780" s="8">
        <f t="shared" si="153"/>
        <v>1</v>
      </c>
      <c r="U780" s="8" t="b">
        <f>NOT(ISNA(MATCH($P780,Packages!$A:$A,0)))</f>
        <v>1</v>
      </c>
    </row>
    <row r="781" spans="1:21" hidden="1">
      <c r="A781" s="6" t="s">
        <v>47</v>
      </c>
      <c r="B781" s="6" t="s">
        <v>53</v>
      </c>
      <c r="C781" s="33">
        <v>820</v>
      </c>
      <c r="D781" s="34">
        <v>16</v>
      </c>
      <c r="E781" s="6" t="s">
        <v>74</v>
      </c>
      <c r="F781" s="6" t="s">
        <v>59</v>
      </c>
      <c r="G781" s="6"/>
      <c r="H781" s="7" t="s">
        <v>141</v>
      </c>
      <c r="I781" s="7" t="str">
        <f t="shared" si="144"/>
        <v>JAMICON</v>
      </c>
      <c r="J781" s="7" t="str">
        <f t="shared" si="145"/>
        <v>820µF 16v</v>
      </c>
      <c r="K781" s="7"/>
      <c r="L781" s="7" t="str">
        <f t="shared" si="143"/>
        <v>WL</v>
      </c>
      <c r="M781" s="31">
        <f t="shared" si="148"/>
        <v>10</v>
      </c>
      <c r="N781" s="31">
        <f t="shared" si="149"/>
        <v>16</v>
      </c>
      <c r="O781" s="8" t="str">
        <f t="shared" si="150"/>
        <v>Jamicon-WL</v>
      </c>
      <c r="P781" s="12" t="str">
        <f t="shared" si="146"/>
        <v>Jamicon R-10.0x16.0</v>
      </c>
      <c r="Q781" s="12" t="str">
        <f t="shared" si="151"/>
        <v>820µF</v>
      </c>
      <c r="R781" s="12" t="str">
        <f t="shared" si="152"/>
        <v>16v</v>
      </c>
      <c r="S781" s="8" t="str">
        <f t="shared" si="147"/>
        <v>820µF 16v - R10.0-16.0 Jamicon (WL)</v>
      </c>
      <c r="T781" s="8">
        <f t="shared" si="153"/>
        <v>1</v>
      </c>
      <c r="U781" s="8" t="b">
        <f>NOT(ISNA(MATCH($P781,Packages!$A:$A,0)))</f>
        <v>1</v>
      </c>
    </row>
    <row r="782" spans="1:21" hidden="1">
      <c r="A782" s="6" t="s">
        <v>47</v>
      </c>
      <c r="B782" s="6" t="s">
        <v>53</v>
      </c>
      <c r="C782" s="33">
        <v>1000</v>
      </c>
      <c r="D782" s="34">
        <v>16</v>
      </c>
      <c r="E782" s="6" t="s">
        <v>94</v>
      </c>
      <c r="F782" s="6" t="s">
        <v>59</v>
      </c>
      <c r="G782" s="6"/>
      <c r="H782" s="7" t="s">
        <v>141</v>
      </c>
      <c r="I782" s="7" t="str">
        <f t="shared" si="144"/>
        <v>JAMICON</v>
      </c>
      <c r="J782" s="7" t="str">
        <f t="shared" si="145"/>
        <v>1000µF 16v</v>
      </c>
      <c r="K782" s="7"/>
      <c r="L782" s="7" t="str">
        <f t="shared" si="143"/>
        <v>WL</v>
      </c>
      <c r="M782" s="31">
        <f t="shared" si="148"/>
        <v>10</v>
      </c>
      <c r="N782" s="31">
        <f t="shared" si="149"/>
        <v>20</v>
      </c>
      <c r="O782" s="8" t="str">
        <f t="shared" si="150"/>
        <v>Jamicon-WL</v>
      </c>
      <c r="P782" s="12" t="str">
        <f t="shared" si="146"/>
        <v>Jamicon R-10.0x20.0</v>
      </c>
      <c r="Q782" s="12" t="str">
        <f t="shared" si="151"/>
        <v>1000µF</v>
      </c>
      <c r="R782" s="12" t="str">
        <f t="shared" si="152"/>
        <v>16v</v>
      </c>
      <c r="S782" s="8" t="str">
        <f t="shared" si="147"/>
        <v>1000µF 16v - R10.0-20.0 Jamicon (WL)</v>
      </c>
      <c r="T782" s="8">
        <f t="shared" si="153"/>
        <v>1</v>
      </c>
      <c r="U782" s="8" t="b">
        <f>NOT(ISNA(MATCH($P782,Packages!$A:$A,0)))</f>
        <v>1</v>
      </c>
    </row>
    <row r="783" spans="1:21" hidden="1">
      <c r="A783" s="6" t="s">
        <v>47</v>
      </c>
      <c r="B783" s="6" t="s">
        <v>53</v>
      </c>
      <c r="C783" s="33">
        <v>1000</v>
      </c>
      <c r="D783" s="34">
        <v>16</v>
      </c>
      <c r="E783" s="6" t="s">
        <v>122</v>
      </c>
      <c r="F783" s="6" t="s">
        <v>59</v>
      </c>
      <c r="G783" s="6"/>
      <c r="H783" s="7" t="s">
        <v>141</v>
      </c>
      <c r="I783" s="7" t="str">
        <f t="shared" si="144"/>
        <v>JAMICON</v>
      </c>
      <c r="J783" s="7" t="str">
        <f t="shared" si="145"/>
        <v>1000µF 16v</v>
      </c>
      <c r="K783" s="7"/>
      <c r="L783" s="7" t="str">
        <f t="shared" si="143"/>
        <v>WL</v>
      </c>
      <c r="M783" s="31">
        <f t="shared" si="148"/>
        <v>12.5</v>
      </c>
      <c r="N783" s="31">
        <f t="shared" si="149"/>
        <v>15</v>
      </c>
      <c r="O783" s="8" t="str">
        <f t="shared" si="150"/>
        <v>Jamicon-WL</v>
      </c>
      <c r="P783" s="12" t="str">
        <f t="shared" si="146"/>
        <v>Jamicon R-13.0x15.0</v>
      </c>
      <c r="Q783" s="12" t="str">
        <f t="shared" si="151"/>
        <v>1000µF</v>
      </c>
      <c r="R783" s="12" t="str">
        <f t="shared" si="152"/>
        <v>16v</v>
      </c>
      <c r="S783" s="8" t="str">
        <f t="shared" si="147"/>
        <v>1000µF 16v - R12.5-15.0 Jamicon (WL)</v>
      </c>
      <c r="T783" s="8">
        <f t="shared" si="153"/>
        <v>1</v>
      </c>
      <c r="U783" s="8" t="b">
        <f>NOT(ISNA(MATCH($P783,Packages!$A:$A,0)))</f>
        <v>1</v>
      </c>
    </row>
    <row r="784" spans="1:21" hidden="1">
      <c r="A784" s="6" t="s">
        <v>47</v>
      </c>
      <c r="B784" s="6" t="s">
        <v>53</v>
      </c>
      <c r="C784" s="33">
        <v>1200</v>
      </c>
      <c r="D784" s="34">
        <v>16</v>
      </c>
      <c r="E784" s="6" t="s">
        <v>123</v>
      </c>
      <c r="F784" s="6" t="s">
        <v>59</v>
      </c>
      <c r="G784" s="6"/>
      <c r="H784" s="7" t="s">
        <v>141</v>
      </c>
      <c r="I784" s="7" t="str">
        <f t="shared" si="144"/>
        <v>JAMICON</v>
      </c>
      <c r="J784" s="7" t="str">
        <f t="shared" si="145"/>
        <v>1200µF 16v</v>
      </c>
      <c r="K784" s="7"/>
      <c r="L784" s="7" t="str">
        <f t="shared" si="143"/>
        <v>WL</v>
      </c>
      <c r="M784" s="31">
        <f t="shared" si="148"/>
        <v>10</v>
      </c>
      <c r="N784" s="31">
        <f t="shared" si="149"/>
        <v>25</v>
      </c>
      <c r="O784" s="8" t="str">
        <f t="shared" si="150"/>
        <v>Jamicon-WL</v>
      </c>
      <c r="P784" s="12" t="str">
        <f t="shared" si="146"/>
        <v>Jamicon R-10.0x25.0</v>
      </c>
      <c r="Q784" s="12" t="str">
        <f t="shared" si="151"/>
        <v>1200µF</v>
      </c>
      <c r="R784" s="12" t="str">
        <f t="shared" si="152"/>
        <v>16v</v>
      </c>
      <c r="S784" s="8" t="str">
        <f t="shared" si="147"/>
        <v>1200µF 16v - R10.0-25.0 Jamicon (WL)</v>
      </c>
      <c r="T784" s="8">
        <f t="shared" si="153"/>
        <v>1</v>
      </c>
      <c r="U784" s="8" t="b">
        <f>NOT(ISNA(MATCH($P784,Packages!$A:$A,0)))</f>
        <v>1</v>
      </c>
    </row>
    <row r="785" spans="1:21" hidden="1">
      <c r="A785" s="6" t="s">
        <v>47</v>
      </c>
      <c r="B785" s="6" t="s">
        <v>53</v>
      </c>
      <c r="C785" s="33">
        <v>1200</v>
      </c>
      <c r="D785" s="34">
        <v>16</v>
      </c>
      <c r="E785" s="6" t="s">
        <v>124</v>
      </c>
      <c r="F785" s="6" t="s">
        <v>59</v>
      </c>
      <c r="G785" s="6"/>
      <c r="H785" s="7" t="s">
        <v>141</v>
      </c>
      <c r="I785" s="7" t="str">
        <f t="shared" si="144"/>
        <v>JAMICON</v>
      </c>
      <c r="J785" s="7" t="str">
        <f t="shared" si="145"/>
        <v>1200µF 16v</v>
      </c>
      <c r="K785" s="7"/>
      <c r="L785" s="7" t="str">
        <f t="shared" si="143"/>
        <v>WL</v>
      </c>
      <c r="M785" s="31">
        <f t="shared" si="148"/>
        <v>12.5</v>
      </c>
      <c r="N785" s="31">
        <f t="shared" si="149"/>
        <v>18</v>
      </c>
      <c r="O785" s="8" t="str">
        <f t="shared" si="150"/>
        <v>Jamicon-WL</v>
      </c>
      <c r="P785" s="12" t="str">
        <f t="shared" si="146"/>
        <v>Jamicon R-13.0x18.0</v>
      </c>
      <c r="Q785" s="12" t="str">
        <f t="shared" si="151"/>
        <v>1200µF</v>
      </c>
      <c r="R785" s="12" t="str">
        <f t="shared" si="152"/>
        <v>16v</v>
      </c>
      <c r="S785" s="8" t="str">
        <f t="shared" si="147"/>
        <v>1200µF 16v - R12.5-18.0 Jamicon (WL)</v>
      </c>
      <c r="T785" s="8">
        <f t="shared" si="153"/>
        <v>1</v>
      </c>
      <c r="U785" s="8" t="b">
        <f>NOT(ISNA(MATCH($P785,Packages!$A:$A,0)))</f>
        <v>1</v>
      </c>
    </row>
    <row r="786" spans="1:21" hidden="1">
      <c r="A786" s="6" t="s">
        <v>47</v>
      </c>
      <c r="B786" s="6" t="s">
        <v>53</v>
      </c>
      <c r="C786" s="33">
        <v>1500</v>
      </c>
      <c r="D786" s="34">
        <v>16</v>
      </c>
      <c r="E786" s="6" t="s">
        <v>125</v>
      </c>
      <c r="F786" s="6" t="s">
        <v>59</v>
      </c>
      <c r="G786" s="6"/>
      <c r="H786" s="7" t="s">
        <v>141</v>
      </c>
      <c r="I786" s="7" t="str">
        <f t="shared" si="144"/>
        <v>JAMICON</v>
      </c>
      <c r="J786" s="7" t="str">
        <f t="shared" si="145"/>
        <v>1500µF 16v</v>
      </c>
      <c r="K786" s="7"/>
      <c r="L786" s="7" t="str">
        <f t="shared" si="143"/>
        <v>WL</v>
      </c>
      <c r="M786" s="31">
        <f t="shared" si="148"/>
        <v>10</v>
      </c>
      <c r="N786" s="31">
        <f t="shared" si="149"/>
        <v>28</v>
      </c>
      <c r="O786" s="8" t="str">
        <f t="shared" si="150"/>
        <v>Jamicon-WL</v>
      </c>
      <c r="P786" s="12" t="str">
        <f t="shared" si="146"/>
        <v>Jamicon R-10.0x28.0</v>
      </c>
      <c r="Q786" s="12" t="str">
        <f t="shared" si="151"/>
        <v>1500µF</v>
      </c>
      <c r="R786" s="12" t="str">
        <f t="shared" si="152"/>
        <v>16v</v>
      </c>
      <c r="S786" s="8" t="str">
        <f t="shared" si="147"/>
        <v>1500µF 16v - R10.0-28.0 Jamicon (WL)</v>
      </c>
      <c r="T786" s="8">
        <f t="shared" si="153"/>
        <v>1</v>
      </c>
      <c r="U786" s="8" t="b">
        <f>NOT(ISNA(MATCH($P786,Packages!$A:$A,0)))</f>
        <v>1</v>
      </c>
    </row>
    <row r="787" spans="1:21" hidden="1">
      <c r="A787" s="6" t="s">
        <v>47</v>
      </c>
      <c r="B787" s="6" t="s">
        <v>53</v>
      </c>
      <c r="C787" s="33">
        <v>1500</v>
      </c>
      <c r="D787" s="34">
        <v>16</v>
      </c>
      <c r="E787" s="6" t="s">
        <v>126</v>
      </c>
      <c r="F787" s="6" t="s">
        <v>59</v>
      </c>
      <c r="G787" s="6"/>
      <c r="H787" s="7" t="s">
        <v>141</v>
      </c>
      <c r="I787" s="7" t="str">
        <f t="shared" si="144"/>
        <v>JAMICON</v>
      </c>
      <c r="J787" s="7" t="str">
        <f t="shared" si="145"/>
        <v>1500µF 16v</v>
      </c>
      <c r="K787" s="7"/>
      <c r="L787" s="7" t="str">
        <f t="shared" si="143"/>
        <v>WL</v>
      </c>
      <c r="M787" s="31">
        <f t="shared" si="148"/>
        <v>16</v>
      </c>
      <c r="N787" s="31">
        <f t="shared" si="149"/>
        <v>15</v>
      </c>
      <c r="O787" s="8" t="str">
        <f t="shared" si="150"/>
        <v>Jamicon-WL</v>
      </c>
      <c r="P787" s="12" t="str">
        <f t="shared" si="146"/>
        <v>Jamicon R-16.0x15.0</v>
      </c>
      <c r="Q787" s="12" t="str">
        <f t="shared" si="151"/>
        <v>1500µF</v>
      </c>
      <c r="R787" s="12" t="str">
        <f t="shared" si="152"/>
        <v>16v</v>
      </c>
      <c r="S787" s="8" t="str">
        <f t="shared" si="147"/>
        <v>1500µF 16v - R16.0-15.0 Jamicon (WL)</v>
      </c>
      <c r="T787" s="8">
        <f t="shared" si="153"/>
        <v>1</v>
      </c>
      <c r="U787" s="8" t="b">
        <f>NOT(ISNA(MATCH($P787,Packages!$A:$A,0)))</f>
        <v>1</v>
      </c>
    </row>
    <row r="788" spans="1:21" hidden="1">
      <c r="A788" s="6" t="s">
        <v>47</v>
      </c>
      <c r="B788" s="6" t="s">
        <v>53</v>
      </c>
      <c r="C788" s="33">
        <v>1800</v>
      </c>
      <c r="D788" s="34">
        <v>16</v>
      </c>
      <c r="E788" s="6" t="s">
        <v>95</v>
      </c>
      <c r="F788" s="6" t="s">
        <v>59</v>
      </c>
      <c r="G788" s="6"/>
      <c r="H788" s="7" t="s">
        <v>141</v>
      </c>
      <c r="I788" s="7" t="str">
        <f t="shared" si="144"/>
        <v>JAMICON</v>
      </c>
      <c r="J788" s="7" t="str">
        <f t="shared" si="145"/>
        <v>1800µF 16v</v>
      </c>
      <c r="K788" s="7"/>
      <c r="L788" s="7" t="str">
        <f t="shared" si="143"/>
        <v>WL</v>
      </c>
      <c r="M788" s="31">
        <f t="shared" si="148"/>
        <v>12.5</v>
      </c>
      <c r="N788" s="31">
        <f t="shared" si="149"/>
        <v>20</v>
      </c>
      <c r="O788" s="8" t="str">
        <f t="shared" si="150"/>
        <v>Jamicon-WL</v>
      </c>
      <c r="P788" s="12" t="str">
        <f t="shared" si="146"/>
        <v>Jamicon R-13.0x20.0</v>
      </c>
      <c r="Q788" s="12" t="str">
        <f t="shared" si="151"/>
        <v>1800µF</v>
      </c>
      <c r="R788" s="12" t="str">
        <f t="shared" si="152"/>
        <v>16v</v>
      </c>
      <c r="S788" s="8" t="str">
        <f t="shared" si="147"/>
        <v>1800µF 16v - R12.5-20.0 Jamicon (WL)</v>
      </c>
      <c r="T788" s="8">
        <f t="shared" si="153"/>
        <v>1</v>
      </c>
      <c r="U788" s="8" t="b">
        <f>NOT(ISNA(MATCH($P788,Packages!$A:$A,0)))</f>
        <v>1</v>
      </c>
    </row>
    <row r="789" spans="1:21" hidden="1">
      <c r="A789" s="6" t="s">
        <v>47</v>
      </c>
      <c r="B789" s="6" t="s">
        <v>53</v>
      </c>
      <c r="C789" s="33">
        <v>1800</v>
      </c>
      <c r="D789" s="34">
        <v>16</v>
      </c>
      <c r="E789" s="6" t="s">
        <v>126</v>
      </c>
      <c r="F789" s="6" t="s">
        <v>59</v>
      </c>
      <c r="G789" s="6"/>
      <c r="H789" s="7" t="s">
        <v>141</v>
      </c>
      <c r="I789" s="7" t="str">
        <f t="shared" si="144"/>
        <v>JAMICON</v>
      </c>
      <c r="J789" s="7" t="str">
        <f t="shared" si="145"/>
        <v>1800µF 16v</v>
      </c>
      <c r="K789" s="7"/>
      <c r="L789" s="7" t="str">
        <f t="shared" si="143"/>
        <v>WL</v>
      </c>
      <c r="M789" s="31">
        <f t="shared" si="148"/>
        <v>16</v>
      </c>
      <c r="N789" s="31">
        <f t="shared" si="149"/>
        <v>15</v>
      </c>
      <c r="O789" s="8" t="str">
        <f t="shared" si="150"/>
        <v>Jamicon-WL</v>
      </c>
      <c r="P789" s="12" t="str">
        <f t="shared" si="146"/>
        <v>Jamicon R-16.0x15.0</v>
      </c>
      <c r="Q789" s="12" t="str">
        <f t="shared" si="151"/>
        <v>1800µF</v>
      </c>
      <c r="R789" s="12" t="str">
        <f t="shared" si="152"/>
        <v>16v</v>
      </c>
      <c r="S789" s="8" t="str">
        <f t="shared" si="147"/>
        <v>1800µF 16v - R16.0-15.0 Jamicon (WL)</v>
      </c>
      <c r="T789" s="8">
        <f t="shared" si="153"/>
        <v>1</v>
      </c>
      <c r="U789" s="8" t="b">
        <f>NOT(ISNA(MATCH($P789,Packages!$A:$A,0)))</f>
        <v>1</v>
      </c>
    </row>
    <row r="790" spans="1:21" hidden="1">
      <c r="A790" s="6" t="s">
        <v>47</v>
      </c>
      <c r="B790" s="6" t="s">
        <v>53</v>
      </c>
      <c r="C790" s="33">
        <v>2200</v>
      </c>
      <c r="D790" s="34">
        <v>16</v>
      </c>
      <c r="E790" s="6" t="s">
        <v>96</v>
      </c>
      <c r="F790" s="6" t="s">
        <v>59</v>
      </c>
      <c r="G790" s="6"/>
      <c r="H790" s="7" t="s">
        <v>141</v>
      </c>
      <c r="I790" s="7" t="str">
        <f t="shared" si="144"/>
        <v>JAMICON</v>
      </c>
      <c r="J790" s="7" t="str">
        <f t="shared" si="145"/>
        <v>2200µF 16v</v>
      </c>
      <c r="K790" s="7"/>
      <c r="L790" s="7" t="str">
        <f t="shared" si="143"/>
        <v>WL</v>
      </c>
      <c r="M790" s="31">
        <f t="shared" si="148"/>
        <v>12.5</v>
      </c>
      <c r="N790" s="31">
        <f t="shared" si="149"/>
        <v>25</v>
      </c>
      <c r="O790" s="8" t="str">
        <f t="shared" si="150"/>
        <v>Jamicon-WL</v>
      </c>
      <c r="P790" s="12" t="str">
        <f t="shared" si="146"/>
        <v>Jamicon R-13.0x25.0</v>
      </c>
      <c r="Q790" s="12" t="str">
        <f t="shared" si="151"/>
        <v>2200µF</v>
      </c>
      <c r="R790" s="12" t="str">
        <f t="shared" si="152"/>
        <v>16v</v>
      </c>
      <c r="S790" s="8" t="str">
        <f t="shared" si="147"/>
        <v>2200µF 16v - R12.5-25.0 Jamicon (WL)</v>
      </c>
      <c r="T790" s="8">
        <f t="shared" si="153"/>
        <v>1</v>
      </c>
      <c r="U790" s="8" t="b">
        <f>NOT(ISNA(MATCH($P790,Packages!$A:$A,0)))</f>
        <v>1</v>
      </c>
    </row>
    <row r="791" spans="1:21" hidden="1">
      <c r="A791" s="6" t="s">
        <v>47</v>
      </c>
      <c r="B791" s="6" t="s">
        <v>53</v>
      </c>
      <c r="C791" s="33">
        <v>2200</v>
      </c>
      <c r="D791" s="34">
        <v>16</v>
      </c>
      <c r="E791" s="6" t="s">
        <v>127</v>
      </c>
      <c r="F791" s="6" t="s">
        <v>59</v>
      </c>
      <c r="G791" s="6"/>
      <c r="H791" s="7" t="s">
        <v>141</v>
      </c>
      <c r="I791" s="7" t="str">
        <f t="shared" si="144"/>
        <v>JAMICON</v>
      </c>
      <c r="J791" s="7" t="str">
        <f t="shared" si="145"/>
        <v>2200µF 16v</v>
      </c>
      <c r="K791" s="7"/>
      <c r="L791" s="7" t="str">
        <f t="shared" si="143"/>
        <v>WL</v>
      </c>
      <c r="M791" s="31">
        <f t="shared" si="148"/>
        <v>18</v>
      </c>
      <c r="N791" s="31">
        <f t="shared" si="149"/>
        <v>15</v>
      </c>
      <c r="O791" s="8" t="str">
        <f t="shared" si="150"/>
        <v>Jamicon-WL</v>
      </c>
      <c r="P791" s="12" t="str">
        <f t="shared" si="146"/>
        <v>Jamicon R-18.0x15.0</v>
      </c>
      <c r="Q791" s="12" t="str">
        <f t="shared" si="151"/>
        <v>2200µF</v>
      </c>
      <c r="R791" s="12" t="str">
        <f t="shared" si="152"/>
        <v>16v</v>
      </c>
      <c r="S791" s="8" t="str">
        <f t="shared" si="147"/>
        <v>2200µF 16v - R18.0-15.0 Jamicon (WL)</v>
      </c>
      <c r="T791" s="8">
        <f t="shared" si="153"/>
        <v>1</v>
      </c>
      <c r="U791" s="8" t="b">
        <f>NOT(ISNA(MATCH($P791,Packages!$A:$A,0)))</f>
        <v>1</v>
      </c>
    </row>
    <row r="792" spans="1:21" hidden="1">
      <c r="A792" s="6" t="s">
        <v>47</v>
      </c>
      <c r="B792" s="6" t="s">
        <v>53</v>
      </c>
      <c r="C792" s="33">
        <v>2700</v>
      </c>
      <c r="D792" s="34">
        <v>16</v>
      </c>
      <c r="E792" s="6" t="s">
        <v>128</v>
      </c>
      <c r="F792" s="6" t="s">
        <v>59</v>
      </c>
      <c r="G792" s="6"/>
      <c r="H792" s="7" t="s">
        <v>141</v>
      </c>
      <c r="I792" s="7" t="str">
        <f t="shared" si="144"/>
        <v>JAMICON</v>
      </c>
      <c r="J792" s="7" t="str">
        <f t="shared" si="145"/>
        <v>2700µF 16v</v>
      </c>
      <c r="K792" s="7"/>
      <c r="L792" s="7" t="str">
        <f t="shared" si="143"/>
        <v>WL</v>
      </c>
      <c r="M792" s="31">
        <f t="shared" si="148"/>
        <v>12.5</v>
      </c>
      <c r="N792" s="31">
        <f t="shared" si="149"/>
        <v>30</v>
      </c>
      <c r="O792" s="8" t="str">
        <f t="shared" si="150"/>
        <v>Jamicon-WL</v>
      </c>
      <c r="P792" s="12" t="str">
        <f t="shared" si="146"/>
        <v>Jamicon R-13.0x30.0</v>
      </c>
      <c r="Q792" s="12" t="str">
        <f t="shared" si="151"/>
        <v>2700µF</v>
      </c>
      <c r="R792" s="12" t="str">
        <f t="shared" si="152"/>
        <v>16v</v>
      </c>
      <c r="S792" s="8" t="str">
        <f t="shared" si="147"/>
        <v>2700µF 16v - R12.5-30.0 Jamicon (WL)</v>
      </c>
      <c r="T792" s="8">
        <f t="shared" si="153"/>
        <v>1</v>
      </c>
      <c r="U792" s="8" t="b">
        <f>NOT(ISNA(MATCH($P792,Packages!$A:$A,0)))</f>
        <v>1</v>
      </c>
    </row>
    <row r="793" spans="1:21" hidden="1">
      <c r="A793" s="6" t="s">
        <v>47</v>
      </c>
      <c r="B793" s="6" t="s">
        <v>53</v>
      </c>
      <c r="C793" s="33">
        <v>2700</v>
      </c>
      <c r="D793" s="34">
        <v>16</v>
      </c>
      <c r="E793" s="6" t="s">
        <v>129</v>
      </c>
      <c r="F793" s="6" t="s">
        <v>59</v>
      </c>
      <c r="G793" s="6"/>
      <c r="H793" s="7" t="s">
        <v>141</v>
      </c>
      <c r="I793" s="7" t="str">
        <f t="shared" si="144"/>
        <v>JAMICON</v>
      </c>
      <c r="J793" s="7" t="str">
        <f t="shared" si="145"/>
        <v>2700µF 16v</v>
      </c>
      <c r="K793" s="7"/>
      <c r="L793" s="7" t="str">
        <f t="shared" si="143"/>
        <v>WL</v>
      </c>
      <c r="M793" s="31">
        <f t="shared" si="148"/>
        <v>16</v>
      </c>
      <c r="N793" s="31">
        <f t="shared" si="149"/>
        <v>20</v>
      </c>
      <c r="O793" s="8" t="str">
        <f t="shared" si="150"/>
        <v>Jamicon-WL</v>
      </c>
      <c r="P793" s="12" t="str">
        <f t="shared" si="146"/>
        <v>Jamicon R-16.0x20.0</v>
      </c>
      <c r="Q793" s="12" t="str">
        <f t="shared" si="151"/>
        <v>2700µF</v>
      </c>
      <c r="R793" s="12" t="str">
        <f t="shared" si="152"/>
        <v>16v</v>
      </c>
      <c r="S793" s="8" t="str">
        <f t="shared" si="147"/>
        <v>2700µF 16v - R16.0-20.0 Jamicon (WL)</v>
      </c>
      <c r="T793" s="8">
        <f t="shared" si="153"/>
        <v>1</v>
      </c>
      <c r="U793" s="8" t="b">
        <f>NOT(ISNA(MATCH($P793,Packages!$A:$A,0)))</f>
        <v>1</v>
      </c>
    </row>
    <row r="794" spans="1:21" hidden="1">
      <c r="A794" s="6" t="s">
        <v>47</v>
      </c>
      <c r="B794" s="6" t="s">
        <v>53</v>
      </c>
      <c r="C794" s="33">
        <v>3300</v>
      </c>
      <c r="D794" s="34">
        <v>16</v>
      </c>
      <c r="E794" s="6" t="s">
        <v>130</v>
      </c>
      <c r="F794" s="6" t="s">
        <v>59</v>
      </c>
      <c r="G794" s="6"/>
      <c r="H794" s="7" t="s">
        <v>141</v>
      </c>
      <c r="I794" s="7" t="str">
        <f t="shared" si="144"/>
        <v>JAMICON</v>
      </c>
      <c r="J794" s="7" t="str">
        <f t="shared" si="145"/>
        <v>3300µF 16v</v>
      </c>
      <c r="K794" s="7"/>
      <c r="L794" s="7" t="str">
        <f t="shared" si="143"/>
        <v>WL</v>
      </c>
      <c r="M794" s="31">
        <f t="shared" si="148"/>
        <v>12.5</v>
      </c>
      <c r="N794" s="31">
        <f t="shared" si="149"/>
        <v>35</v>
      </c>
      <c r="O794" s="8" t="str">
        <f t="shared" si="150"/>
        <v>Jamicon-WL</v>
      </c>
      <c r="P794" s="12" t="str">
        <f t="shared" si="146"/>
        <v>Jamicon R-13.0x35.0</v>
      </c>
      <c r="Q794" s="12" t="str">
        <f t="shared" si="151"/>
        <v>3300µF</v>
      </c>
      <c r="R794" s="12" t="str">
        <f t="shared" si="152"/>
        <v>16v</v>
      </c>
      <c r="S794" s="8" t="str">
        <f t="shared" si="147"/>
        <v>3300µF 16v - R12.5-35.0 Jamicon (WL)</v>
      </c>
      <c r="T794" s="8">
        <f t="shared" si="153"/>
        <v>1</v>
      </c>
      <c r="U794" s="8" t="b">
        <f>NOT(ISNA(MATCH($P794,Packages!$A:$A,0)))</f>
        <v>1</v>
      </c>
    </row>
    <row r="795" spans="1:21" hidden="1">
      <c r="A795" s="6" t="s">
        <v>47</v>
      </c>
      <c r="B795" s="6" t="s">
        <v>53</v>
      </c>
      <c r="C795" s="33">
        <v>3300</v>
      </c>
      <c r="D795" s="34">
        <v>16</v>
      </c>
      <c r="E795" s="6" t="s">
        <v>97</v>
      </c>
      <c r="F795" s="6" t="s">
        <v>59</v>
      </c>
      <c r="G795" s="6"/>
      <c r="H795" s="7" t="s">
        <v>141</v>
      </c>
      <c r="I795" s="7" t="str">
        <f t="shared" si="144"/>
        <v>JAMICON</v>
      </c>
      <c r="J795" s="7" t="str">
        <f t="shared" si="145"/>
        <v>3300µF 16v</v>
      </c>
      <c r="K795" s="7"/>
      <c r="L795" s="7" t="str">
        <f t="shared" si="143"/>
        <v>WL</v>
      </c>
      <c r="M795" s="31">
        <f t="shared" si="148"/>
        <v>16</v>
      </c>
      <c r="N795" s="31">
        <f t="shared" si="149"/>
        <v>25</v>
      </c>
      <c r="O795" s="8" t="str">
        <f t="shared" si="150"/>
        <v>Jamicon-WL</v>
      </c>
      <c r="P795" s="12" t="str">
        <f t="shared" si="146"/>
        <v>Jamicon R-16.0x25.0</v>
      </c>
      <c r="Q795" s="12" t="str">
        <f t="shared" si="151"/>
        <v>3300µF</v>
      </c>
      <c r="R795" s="12" t="str">
        <f t="shared" si="152"/>
        <v>16v</v>
      </c>
      <c r="S795" s="8" t="str">
        <f t="shared" si="147"/>
        <v>3300µF 16v - R16.0-25.0 Jamicon (WL)</v>
      </c>
      <c r="T795" s="8">
        <f t="shared" si="153"/>
        <v>1</v>
      </c>
      <c r="U795" s="8" t="b">
        <f>NOT(ISNA(MATCH($P795,Packages!$A:$A,0)))</f>
        <v>1</v>
      </c>
    </row>
    <row r="796" spans="1:21" hidden="1">
      <c r="A796" s="6" t="s">
        <v>47</v>
      </c>
      <c r="B796" s="6" t="s">
        <v>53</v>
      </c>
      <c r="C796" s="33">
        <v>3900</v>
      </c>
      <c r="D796" s="34">
        <v>16</v>
      </c>
      <c r="E796" s="6" t="s">
        <v>131</v>
      </c>
      <c r="F796" s="6" t="s">
        <v>59</v>
      </c>
      <c r="G796" s="6"/>
      <c r="H796" s="7" t="s">
        <v>141</v>
      </c>
      <c r="I796" s="7" t="str">
        <f t="shared" si="144"/>
        <v>JAMICON</v>
      </c>
      <c r="J796" s="7" t="str">
        <f t="shared" si="145"/>
        <v>3900µF 16v</v>
      </c>
      <c r="K796" s="7"/>
      <c r="L796" s="7" t="str">
        <f t="shared" ref="L796:L859" si="154">B796</f>
        <v>WL</v>
      </c>
      <c r="M796" s="31">
        <f t="shared" si="148"/>
        <v>12.5</v>
      </c>
      <c r="N796" s="31">
        <f t="shared" si="149"/>
        <v>40</v>
      </c>
      <c r="O796" s="8" t="str">
        <f t="shared" si="150"/>
        <v>Jamicon-WL</v>
      </c>
      <c r="P796" s="12" t="str">
        <f t="shared" si="146"/>
        <v>Jamicon R-13.0x40.0</v>
      </c>
      <c r="Q796" s="12" t="str">
        <f t="shared" si="151"/>
        <v>3900µF</v>
      </c>
      <c r="R796" s="12" t="str">
        <f t="shared" si="152"/>
        <v>16v</v>
      </c>
      <c r="S796" s="8" t="str">
        <f t="shared" si="147"/>
        <v>3900µF 16v - R12.5-40.0 Jamicon (WL)</v>
      </c>
      <c r="T796" s="8">
        <f t="shared" si="153"/>
        <v>1</v>
      </c>
      <c r="U796" s="8" t="b">
        <f>NOT(ISNA(MATCH($P796,Packages!$A:$A,0)))</f>
        <v>1</v>
      </c>
    </row>
    <row r="797" spans="1:21" hidden="1">
      <c r="A797" s="6" t="s">
        <v>47</v>
      </c>
      <c r="B797" s="6" t="s">
        <v>53</v>
      </c>
      <c r="C797" s="33">
        <v>3900</v>
      </c>
      <c r="D797" s="34">
        <v>16</v>
      </c>
      <c r="E797" s="6" t="s">
        <v>132</v>
      </c>
      <c r="F797" s="6" t="s">
        <v>59</v>
      </c>
      <c r="G797" s="6"/>
      <c r="H797" s="7" t="s">
        <v>141</v>
      </c>
      <c r="I797" s="7" t="str">
        <f t="shared" ref="I797:I860" si="155">UPPER($A797)</f>
        <v>JAMICON</v>
      </c>
      <c r="J797" s="7" t="str">
        <f t="shared" ref="J797:J860" si="156">$Q797&amp;" "&amp;$R797</f>
        <v>3900µF 16v</v>
      </c>
      <c r="K797" s="7"/>
      <c r="L797" s="7" t="str">
        <f t="shared" si="154"/>
        <v>WL</v>
      </c>
      <c r="M797" s="31">
        <f t="shared" si="148"/>
        <v>18</v>
      </c>
      <c r="N797" s="31">
        <f t="shared" si="149"/>
        <v>20</v>
      </c>
      <c r="O797" s="8" t="str">
        <f t="shared" si="150"/>
        <v>Jamicon-WL</v>
      </c>
      <c r="P797" s="12" t="str">
        <f t="shared" si="146"/>
        <v>Jamicon R-18.0x20.0</v>
      </c>
      <c r="Q797" s="12" t="str">
        <f t="shared" si="151"/>
        <v>3900µF</v>
      </c>
      <c r="R797" s="12" t="str">
        <f t="shared" si="152"/>
        <v>16v</v>
      </c>
      <c r="S797" s="8" t="str">
        <f t="shared" si="147"/>
        <v>3900µF 16v - R18.0-20.0 Jamicon (WL)</v>
      </c>
      <c r="T797" s="8">
        <f t="shared" si="153"/>
        <v>1</v>
      </c>
      <c r="U797" s="8" t="b">
        <f>NOT(ISNA(MATCH($P797,Packages!$A:$A,0)))</f>
        <v>1</v>
      </c>
    </row>
    <row r="798" spans="1:21" hidden="1">
      <c r="A798" s="6" t="s">
        <v>47</v>
      </c>
      <c r="B798" s="6" t="s">
        <v>53</v>
      </c>
      <c r="C798" s="33">
        <v>4700</v>
      </c>
      <c r="D798" s="34">
        <v>16</v>
      </c>
      <c r="E798" s="6" t="s">
        <v>98</v>
      </c>
      <c r="F798" s="6" t="s">
        <v>59</v>
      </c>
      <c r="G798" s="6"/>
      <c r="H798" s="7" t="s">
        <v>141</v>
      </c>
      <c r="I798" s="7" t="str">
        <f t="shared" si="155"/>
        <v>JAMICON</v>
      </c>
      <c r="J798" s="7" t="str">
        <f t="shared" si="156"/>
        <v>4700µF 16v</v>
      </c>
      <c r="K798" s="7"/>
      <c r="L798" s="7" t="str">
        <f t="shared" si="154"/>
        <v>WL</v>
      </c>
      <c r="M798" s="31">
        <f t="shared" si="148"/>
        <v>16</v>
      </c>
      <c r="N798" s="31">
        <f t="shared" si="149"/>
        <v>31.5</v>
      </c>
      <c r="O798" s="8" t="str">
        <f t="shared" si="150"/>
        <v>Jamicon-WL</v>
      </c>
      <c r="P798" s="12" t="str">
        <f t="shared" si="146"/>
        <v>Jamicon R-16.0x32.0</v>
      </c>
      <c r="Q798" s="12" t="str">
        <f t="shared" si="151"/>
        <v>4700µF</v>
      </c>
      <c r="R798" s="12" t="str">
        <f t="shared" si="152"/>
        <v>16v</v>
      </c>
      <c r="S798" s="8" t="str">
        <f t="shared" si="147"/>
        <v>4700µF 16v - R16.0-31.5 Jamicon (WL)</v>
      </c>
      <c r="T798" s="8">
        <f t="shared" si="153"/>
        <v>1</v>
      </c>
      <c r="U798" s="8" t="b">
        <f>NOT(ISNA(MATCH($P798,Packages!$A:$A,0)))</f>
        <v>1</v>
      </c>
    </row>
    <row r="799" spans="1:21" hidden="1">
      <c r="A799" s="6" t="s">
        <v>47</v>
      </c>
      <c r="B799" s="6" t="s">
        <v>53</v>
      </c>
      <c r="C799" s="33">
        <v>4700</v>
      </c>
      <c r="D799" s="34">
        <v>16</v>
      </c>
      <c r="E799" s="6" t="s">
        <v>133</v>
      </c>
      <c r="F799" s="6" t="s">
        <v>59</v>
      </c>
      <c r="G799" s="6"/>
      <c r="H799" s="7" t="s">
        <v>141</v>
      </c>
      <c r="I799" s="7" t="str">
        <f t="shared" si="155"/>
        <v>JAMICON</v>
      </c>
      <c r="J799" s="7" t="str">
        <f t="shared" si="156"/>
        <v>4700µF 16v</v>
      </c>
      <c r="K799" s="7"/>
      <c r="L799" s="7" t="str">
        <f t="shared" si="154"/>
        <v>WL</v>
      </c>
      <c r="M799" s="31">
        <f t="shared" si="148"/>
        <v>18</v>
      </c>
      <c r="N799" s="31">
        <f t="shared" si="149"/>
        <v>25</v>
      </c>
      <c r="O799" s="8" t="str">
        <f t="shared" si="150"/>
        <v>Jamicon-WL</v>
      </c>
      <c r="P799" s="12" t="str">
        <f t="shared" si="146"/>
        <v>Jamicon R-18.0x25.0</v>
      </c>
      <c r="Q799" s="12" t="str">
        <f t="shared" si="151"/>
        <v>4700µF</v>
      </c>
      <c r="R799" s="12" t="str">
        <f t="shared" si="152"/>
        <v>16v</v>
      </c>
      <c r="S799" s="8" t="str">
        <f t="shared" si="147"/>
        <v>4700µF 16v - R18.0-25.0 Jamicon (WL)</v>
      </c>
      <c r="T799" s="8">
        <f t="shared" si="153"/>
        <v>1</v>
      </c>
      <c r="U799" s="8" t="b">
        <f>NOT(ISNA(MATCH($P799,Packages!$A:$A,0)))</f>
        <v>1</v>
      </c>
    </row>
    <row r="800" spans="1:21" hidden="1">
      <c r="A800" s="6" t="s">
        <v>47</v>
      </c>
      <c r="B800" s="6" t="s">
        <v>53</v>
      </c>
      <c r="C800" s="33">
        <v>5600</v>
      </c>
      <c r="D800" s="34">
        <v>16</v>
      </c>
      <c r="E800" s="6" t="s">
        <v>99</v>
      </c>
      <c r="F800" s="6" t="s">
        <v>59</v>
      </c>
      <c r="G800" s="6"/>
      <c r="H800" s="7" t="s">
        <v>141</v>
      </c>
      <c r="I800" s="7" t="str">
        <f t="shared" si="155"/>
        <v>JAMICON</v>
      </c>
      <c r="J800" s="7" t="str">
        <f t="shared" si="156"/>
        <v>5600µF 16v</v>
      </c>
      <c r="K800" s="7"/>
      <c r="L800" s="7" t="str">
        <f t="shared" si="154"/>
        <v>WL</v>
      </c>
      <c r="M800" s="31">
        <f t="shared" si="148"/>
        <v>16</v>
      </c>
      <c r="N800" s="31">
        <f t="shared" si="149"/>
        <v>35.5</v>
      </c>
      <c r="O800" s="8" t="str">
        <f t="shared" si="150"/>
        <v>Jamicon-WL</v>
      </c>
      <c r="P800" s="12" t="str">
        <f t="shared" si="146"/>
        <v>Jamicon R-16.0x36.0</v>
      </c>
      <c r="Q800" s="12" t="str">
        <f t="shared" si="151"/>
        <v>5600µF</v>
      </c>
      <c r="R800" s="12" t="str">
        <f t="shared" si="152"/>
        <v>16v</v>
      </c>
      <c r="S800" s="8" t="str">
        <f t="shared" si="147"/>
        <v>5600µF 16v - R16.0-35.5 Jamicon (WL)</v>
      </c>
      <c r="T800" s="8">
        <f t="shared" si="153"/>
        <v>1</v>
      </c>
      <c r="U800" s="8" t="b">
        <f>NOT(ISNA(MATCH($P800,Packages!$A:$A,0)))</f>
        <v>1</v>
      </c>
    </row>
    <row r="801" spans="1:21" hidden="1">
      <c r="A801" s="6" t="s">
        <v>47</v>
      </c>
      <c r="B801" s="6" t="s">
        <v>53</v>
      </c>
      <c r="C801" s="33">
        <v>5600</v>
      </c>
      <c r="D801" s="34">
        <v>16</v>
      </c>
      <c r="E801" s="6" t="s">
        <v>134</v>
      </c>
      <c r="F801" s="6" t="s">
        <v>59</v>
      </c>
      <c r="G801" s="6"/>
      <c r="H801" s="7" t="s">
        <v>141</v>
      </c>
      <c r="I801" s="7" t="str">
        <f t="shared" si="155"/>
        <v>JAMICON</v>
      </c>
      <c r="J801" s="7" t="str">
        <f t="shared" si="156"/>
        <v>5600µF 16v</v>
      </c>
      <c r="K801" s="7"/>
      <c r="L801" s="7" t="str">
        <f t="shared" si="154"/>
        <v>WL</v>
      </c>
      <c r="M801" s="31">
        <f t="shared" si="148"/>
        <v>18</v>
      </c>
      <c r="N801" s="31">
        <f t="shared" si="149"/>
        <v>31.5</v>
      </c>
      <c r="O801" s="8" t="str">
        <f t="shared" si="150"/>
        <v>Jamicon-WL</v>
      </c>
      <c r="P801" s="12" t="str">
        <f t="shared" si="146"/>
        <v>Jamicon R-18.0x32.0</v>
      </c>
      <c r="Q801" s="12" t="str">
        <f t="shared" si="151"/>
        <v>5600µF</v>
      </c>
      <c r="R801" s="12" t="str">
        <f t="shared" si="152"/>
        <v>16v</v>
      </c>
      <c r="S801" s="8" t="str">
        <f t="shared" si="147"/>
        <v>5600µF 16v - R18.0-31.5 Jamicon (WL)</v>
      </c>
      <c r="T801" s="8">
        <f t="shared" si="153"/>
        <v>1</v>
      </c>
      <c r="U801" s="8" t="b">
        <f>NOT(ISNA(MATCH($P801,Packages!$A:$A,0)))</f>
        <v>1</v>
      </c>
    </row>
    <row r="802" spans="1:21" hidden="1">
      <c r="A802" s="6" t="s">
        <v>47</v>
      </c>
      <c r="B802" s="6" t="s">
        <v>53</v>
      </c>
      <c r="C802" s="33">
        <v>47</v>
      </c>
      <c r="D802" s="34">
        <v>25</v>
      </c>
      <c r="E802" s="6" t="s">
        <v>68</v>
      </c>
      <c r="F802" s="6" t="s">
        <v>59</v>
      </c>
      <c r="G802" s="6"/>
      <c r="H802" s="7" t="s">
        <v>141</v>
      </c>
      <c r="I802" s="7" t="str">
        <f t="shared" si="155"/>
        <v>JAMICON</v>
      </c>
      <c r="J802" s="7" t="str">
        <f t="shared" si="156"/>
        <v>47µF 25v</v>
      </c>
      <c r="K802" s="7"/>
      <c r="L802" s="7" t="str">
        <f t="shared" si="154"/>
        <v>WL</v>
      </c>
      <c r="M802" s="31">
        <f t="shared" si="148"/>
        <v>5</v>
      </c>
      <c r="N802" s="31">
        <f t="shared" si="149"/>
        <v>11</v>
      </c>
      <c r="O802" s="8" t="str">
        <f t="shared" si="150"/>
        <v>Jamicon-WL</v>
      </c>
      <c r="P802" s="12" t="str">
        <f t="shared" si="146"/>
        <v>Jamicon R-05.0x11.0</v>
      </c>
      <c r="Q802" s="12" t="str">
        <f t="shared" si="151"/>
        <v>47µF</v>
      </c>
      <c r="R802" s="12" t="str">
        <f t="shared" si="152"/>
        <v>25v</v>
      </c>
      <c r="S802" s="8" t="str">
        <f t="shared" si="147"/>
        <v>47µF 25v - R05.0-11.0 Jamicon (WL)</v>
      </c>
      <c r="T802" s="8">
        <f t="shared" si="153"/>
        <v>1</v>
      </c>
      <c r="U802" s="8" t="b">
        <f>NOT(ISNA(MATCH($P802,Packages!$A:$A,0)))</f>
        <v>1</v>
      </c>
    </row>
    <row r="803" spans="1:21" hidden="1">
      <c r="A803" s="6" t="s">
        <v>47</v>
      </c>
      <c r="B803" s="6" t="s">
        <v>53</v>
      </c>
      <c r="C803" s="33">
        <v>56</v>
      </c>
      <c r="D803" s="34">
        <v>25</v>
      </c>
      <c r="E803" s="6" t="s">
        <v>68</v>
      </c>
      <c r="F803" s="6" t="s">
        <v>59</v>
      </c>
      <c r="G803" s="6"/>
      <c r="H803" s="7" t="s">
        <v>141</v>
      </c>
      <c r="I803" s="7" t="str">
        <f t="shared" si="155"/>
        <v>JAMICON</v>
      </c>
      <c r="J803" s="7" t="str">
        <f t="shared" si="156"/>
        <v>56µF 25v</v>
      </c>
      <c r="K803" s="7"/>
      <c r="L803" s="7" t="str">
        <f t="shared" si="154"/>
        <v>WL</v>
      </c>
      <c r="M803" s="31">
        <f t="shared" si="148"/>
        <v>5</v>
      </c>
      <c r="N803" s="31">
        <f t="shared" si="149"/>
        <v>11</v>
      </c>
      <c r="O803" s="8" t="str">
        <f t="shared" si="150"/>
        <v>Jamicon-WL</v>
      </c>
      <c r="P803" s="12" t="str">
        <f t="shared" si="146"/>
        <v>Jamicon R-05.0x11.0</v>
      </c>
      <c r="Q803" s="12" t="str">
        <f t="shared" si="151"/>
        <v>56µF</v>
      </c>
      <c r="R803" s="12" t="str">
        <f t="shared" si="152"/>
        <v>25v</v>
      </c>
      <c r="S803" s="8" t="str">
        <f t="shared" si="147"/>
        <v>56µF 25v - R05.0-11.0 Jamicon (WL)</v>
      </c>
      <c r="T803" s="8">
        <f t="shared" si="153"/>
        <v>1</v>
      </c>
      <c r="U803" s="8" t="b">
        <f>NOT(ISNA(MATCH($P803,Packages!$A:$A,0)))</f>
        <v>1</v>
      </c>
    </row>
    <row r="804" spans="1:21" hidden="1">
      <c r="A804" s="6" t="s">
        <v>47</v>
      </c>
      <c r="B804" s="6" t="s">
        <v>53</v>
      </c>
      <c r="C804" s="33">
        <v>68</v>
      </c>
      <c r="D804" s="34">
        <v>25</v>
      </c>
      <c r="E804" s="6" t="s">
        <v>68</v>
      </c>
      <c r="F804" s="6" t="s">
        <v>59</v>
      </c>
      <c r="G804" s="6"/>
      <c r="H804" s="7" t="s">
        <v>141</v>
      </c>
      <c r="I804" s="7" t="str">
        <f t="shared" si="155"/>
        <v>JAMICON</v>
      </c>
      <c r="J804" s="7" t="str">
        <f t="shared" si="156"/>
        <v>68µF 25v</v>
      </c>
      <c r="K804" s="7"/>
      <c r="L804" s="7" t="str">
        <f t="shared" si="154"/>
        <v>WL</v>
      </c>
      <c r="M804" s="31">
        <f t="shared" si="148"/>
        <v>5</v>
      </c>
      <c r="N804" s="31">
        <f t="shared" si="149"/>
        <v>11</v>
      </c>
      <c r="O804" s="8" t="str">
        <f t="shared" si="150"/>
        <v>Jamicon-WL</v>
      </c>
      <c r="P804" s="12" t="str">
        <f t="shared" si="146"/>
        <v>Jamicon R-05.0x11.0</v>
      </c>
      <c r="Q804" s="12" t="str">
        <f t="shared" si="151"/>
        <v>68µF</v>
      </c>
      <c r="R804" s="12" t="str">
        <f t="shared" si="152"/>
        <v>25v</v>
      </c>
      <c r="S804" s="8" t="str">
        <f t="shared" si="147"/>
        <v>68µF 25v - R05.0-11.0 Jamicon (WL)</v>
      </c>
      <c r="T804" s="8">
        <f t="shared" si="153"/>
        <v>1</v>
      </c>
      <c r="U804" s="8" t="b">
        <f>NOT(ISNA(MATCH($P804,Packages!$A:$A,0)))</f>
        <v>1</v>
      </c>
    </row>
    <row r="805" spans="1:21" hidden="1">
      <c r="A805" s="6" t="s">
        <v>47</v>
      </c>
      <c r="B805" s="6" t="s">
        <v>53</v>
      </c>
      <c r="C805" s="33">
        <v>82</v>
      </c>
      <c r="D805" s="34">
        <v>25</v>
      </c>
      <c r="E805" s="6" t="s">
        <v>118</v>
      </c>
      <c r="F805" s="6" t="s">
        <v>59</v>
      </c>
      <c r="G805" s="6"/>
      <c r="H805" s="7" t="s">
        <v>141</v>
      </c>
      <c r="I805" s="7" t="str">
        <f t="shared" si="155"/>
        <v>JAMICON</v>
      </c>
      <c r="J805" s="7" t="str">
        <f t="shared" si="156"/>
        <v>82µF 25v</v>
      </c>
      <c r="K805" s="7"/>
      <c r="L805" s="7" t="str">
        <f t="shared" si="154"/>
        <v>WL</v>
      </c>
      <c r="M805" s="31">
        <f t="shared" si="148"/>
        <v>5</v>
      </c>
      <c r="N805" s="31">
        <f t="shared" si="149"/>
        <v>15</v>
      </c>
      <c r="O805" s="8" t="str">
        <f t="shared" si="150"/>
        <v>Jamicon-WL</v>
      </c>
      <c r="P805" s="12" t="str">
        <f t="shared" si="146"/>
        <v>Jamicon R-05.0x15.0</v>
      </c>
      <c r="Q805" s="12" t="str">
        <f t="shared" si="151"/>
        <v>82µF</v>
      </c>
      <c r="R805" s="12" t="str">
        <f t="shared" si="152"/>
        <v>25v</v>
      </c>
      <c r="S805" s="8" t="str">
        <f t="shared" si="147"/>
        <v>82µF 25v - R05.0-15.0 Jamicon (WL)</v>
      </c>
      <c r="T805" s="8">
        <f t="shared" si="153"/>
        <v>1</v>
      </c>
      <c r="U805" s="8" t="b">
        <f>NOT(ISNA(MATCH($P805,Packages!$A:$A,0)))</f>
        <v>1</v>
      </c>
    </row>
    <row r="806" spans="1:21" hidden="1">
      <c r="A806" s="6" t="s">
        <v>47</v>
      </c>
      <c r="B806" s="6" t="s">
        <v>53</v>
      </c>
      <c r="C806" s="33">
        <v>82</v>
      </c>
      <c r="D806" s="34">
        <v>25</v>
      </c>
      <c r="E806" s="6" t="s">
        <v>69</v>
      </c>
      <c r="F806" s="6" t="s">
        <v>59</v>
      </c>
      <c r="G806" s="6"/>
      <c r="H806" s="7" t="s">
        <v>141</v>
      </c>
      <c r="I806" s="7" t="str">
        <f t="shared" si="155"/>
        <v>JAMICON</v>
      </c>
      <c r="J806" s="7" t="str">
        <f t="shared" si="156"/>
        <v>82µF 25v</v>
      </c>
      <c r="K806" s="7"/>
      <c r="L806" s="7" t="str">
        <f t="shared" si="154"/>
        <v>WL</v>
      </c>
      <c r="M806" s="31">
        <f t="shared" si="148"/>
        <v>6.3</v>
      </c>
      <c r="N806" s="31">
        <f t="shared" si="149"/>
        <v>11</v>
      </c>
      <c r="O806" s="8" t="str">
        <f t="shared" si="150"/>
        <v>Jamicon-WL</v>
      </c>
      <c r="P806" s="12" t="str">
        <f t="shared" si="146"/>
        <v>Jamicon R-06.0x11.0</v>
      </c>
      <c r="Q806" s="12" t="str">
        <f t="shared" si="151"/>
        <v>82µF</v>
      </c>
      <c r="R806" s="12" t="str">
        <f t="shared" si="152"/>
        <v>25v</v>
      </c>
      <c r="S806" s="8" t="str">
        <f t="shared" si="147"/>
        <v>82µF 25v - R06.3-11.0 Jamicon (WL)</v>
      </c>
      <c r="T806" s="8">
        <f t="shared" si="153"/>
        <v>1</v>
      </c>
      <c r="U806" s="8" t="b">
        <f>NOT(ISNA(MATCH($P806,Packages!$A:$A,0)))</f>
        <v>1</v>
      </c>
    </row>
    <row r="807" spans="1:21" hidden="1">
      <c r="A807" s="6" t="s">
        <v>47</v>
      </c>
      <c r="B807" s="6" t="s">
        <v>53</v>
      </c>
      <c r="C807" s="33">
        <v>100</v>
      </c>
      <c r="D807" s="34">
        <v>25</v>
      </c>
      <c r="E807" s="6" t="s">
        <v>118</v>
      </c>
      <c r="F807" s="6" t="s">
        <v>59</v>
      </c>
      <c r="G807" s="6"/>
      <c r="H807" s="7" t="s">
        <v>141</v>
      </c>
      <c r="I807" s="7" t="str">
        <f t="shared" si="155"/>
        <v>JAMICON</v>
      </c>
      <c r="J807" s="7" t="str">
        <f t="shared" si="156"/>
        <v>100µF 25v</v>
      </c>
      <c r="K807" s="7"/>
      <c r="L807" s="7" t="str">
        <f t="shared" si="154"/>
        <v>WL</v>
      </c>
      <c r="M807" s="31">
        <f t="shared" si="148"/>
        <v>5</v>
      </c>
      <c r="N807" s="31">
        <f t="shared" si="149"/>
        <v>15</v>
      </c>
      <c r="O807" s="8" t="str">
        <f t="shared" si="150"/>
        <v>Jamicon-WL</v>
      </c>
      <c r="P807" s="12" t="str">
        <f t="shared" si="146"/>
        <v>Jamicon R-05.0x15.0</v>
      </c>
      <c r="Q807" s="12" t="str">
        <f t="shared" si="151"/>
        <v>100µF</v>
      </c>
      <c r="R807" s="12" t="str">
        <f t="shared" si="152"/>
        <v>25v</v>
      </c>
      <c r="S807" s="8" t="str">
        <f t="shared" si="147"/>
        <v>100µF 25v - R05.0-15.0 Jamicon (WL)</v>
      </c>
      <c r="T807" s="8">
        <f t="shared" si="153"/>
        <v>1</v>
      </c>
      <c r="U807" s="8" t="b">
        <f>NOT(ISNA(MATCH($P807,Packages!$A:$A,0)))</f>
        <v>1</v>
      </c>
    </row>
    <row r="808" spans="1:21" hidden="1">
      <c r="A808" s="6" t="s">
        <v>47</v>
      </c>
      <c r="B808" s="6" t="s">
        <v>53</v>
      </c>
      <c r="C808" s="33">
        <v>100</v>
      </c>
      <c r="D808" s="34">
        <v>25</v>
      </c>
      <c r="E808" s="6" t="s">
        <v>69</v>
      </c>
      <c r="F808" s="6" t="s">
        <v>59</v>
      </c>
      <c r="G808" s="6"/>
      <c r="H808" s="7" t="s">
        <v>141</v>
      </c>
      <c r="I808" s="7" t="str">
        <f t="shared" si="155"/>
        <v>JAMICON</v>
      </c>
      <c r="J808" s="7" t="str">
        <f t="shared" si="156"/>
        <v>100µF 25v</v>
      </c>
      <c r="K808" s="7"/>
      <c r="L808" s="7" t="str">
        <f t="shared" si="154"/>
        <v>WL</v>
      </c>
      <c r="M808" s="31">
        <f t="shared" si="148"/>
        <v>6.3</v>
      </c>
      <c r="N808" s="31">
        <f t="shared" si="149"/>
        <v>11</v>
      </c>
      <c r="O808" s="8" t="str">
        <f t="shared" si="150"/>
        <v>Jamicon-WL</v>
      </c>
      <c r="P808" s="12" t="str">
        <f t="shared" si="146"/>
        <v>Jamicon R-06.0x11.0</v>
      </c>
      <c r="Q808" s="12" t="str">
        <f t="shared" si="151"/>
        <v>100µF</v>
      </c>
      <c r="R808" s="12" t="str">
        <f t="shared" si="152"/>
        <v>25v</v>
      </c>
      <c r="S808" s="8" t="str">
        <f t="shared" si="147"/>
        <v>100µF 25v - R06.3-11.0 Jamicon (WL)</v>
      </c>
      <c r="T808" s="8">
        <f t="shared" si="153"/>
        <v>1</v>
      </c>
      <c r="U808" s="8" t="b">
        <f>NOT(ISNA(MATCH($P808,Packages!$A:$A,0)))</f>
        <v>1</v>
      </c>
    </row>
    <row r="809" spans="1:21" hidden="1">
      <c r="A809" s="6" t="s">
        <v>47</v>
      </c>
      <c r="B809" s="6" t="s">
        <v>53</v>
      </c>
      <c r="C809" s="33">
        <v>120</v>
      </c>
      <c r="D809" s="34">
        <v>25</v>
      </c>
      <c r="E809" s="6" t="s">
        <v>118</v>
      </c>
      <c r="F809" s="6" t="s">
        <v>59</v>
      </c>
      <c r="G809" s="6"/>
      <c r="H809" s="7" t="s">
        <v>141</v>
      </c>
      <c r="I809" s="7" t="str">
        <f t="shared" si="155"/>
        <v>JAMICON</v>
      </c>
      <c r="J809" s="7" t="str">
        <f t="shared" si="156"/>
        <v>120µF 25v</v>
      </c>
      <c r="K809" s="7"/>
      <c r="L809" s="7" t="str">
        <f t="shared" si="154"/>
        <v>WL</v>
      </c>
      <c r="M809" s="31">
        <f t="shared" si="148"/>
        <v>5</v>
      </c>
      <c r="N809" s="31">
        <f t="shared" si="149"/>
        <v>15</v>
      </c>
      <c r="O809" s="8" t="str">
        <f t="shared" si="150"/>
        <v>Jamicon-WL</v>
      </c>
      <c r="P809" s="12" t="str">
        <f t="shared" si="146"/>
        <v>Jamicon R-05.0x15.0</v>
      </c>
      <c r="Q809" s="12" t="str">
        <f t="shared" si="151"/>
        <v>120µF</v>
      </c>
      <c r="R809" s="12" t="str">
        <f t="shared" si="152"/>
        <v>25v</v>
      </c>
      <c r="S809" s="8" t="str">
        <f t="shared" si="147"/>
        <v>120µF 25v - R05.0-15.0 Jamicon (WL)</v>
      </c>
      <c r="T809" s="8">
        <f t="shared" si="153"/>
        <v>1</v>
      </c>
      <c r="U809" s="8" t="b">
        <f>NOT(ISNA(MATCH($P809,Packages!$A:$A,0)))</f>
        <v>1</v>
      </c>
    </row>
    <row r="810" spans="1:21" hidden="1">
      <c r="A810" s="6" t="s">
        <v>47</v>
      </c>
      <c r="B810" s="6" t="s">
        <v>53</v>
      </c>
      <c r="C810" s="33">
        <v>120</v>
      </c>
      <c r="D810" s="34">
        <v>25</v>
      </c>
      <c r="E810" s="6" t="s">
        <v>69</v>
      </c>
      <c r="F810" s="6" t="s">
        <v>59</v>
      </c>
      <c r="G810" s="6"/>
      <c r="H810" s="7" t="s">
        <v>141</v>
      </c>
      <c r="I810" s="7" t="str">
        <f t="shared" si="155"/>
        <v>JAMICON</v>
      </c>
      <c r="J810" s="7" t="str">
        <f t="shared" si="156"/>
        <v>120µF 25v</v>
      </c>
      <c r="K810" s="7"/>
      <c r="L810" s="7" t="str">
        <f t="shared" si="154"/>
        <v>WL</v>
      </c>
      <c r="M810" s="31">
        <f t="shared" si="148"/>
        <v>6.3</v>
      </c>
      <c r="N810" s="31">
        <f t="shared" si="149"/>
        <v>11</v>
      </c>
      <c r="O810" s="8" t="str">
        <f t="shared" si="150"/>
        <v>Jamicon-WL</v>
      </c>
      <c r="P810" s="12" t="str">
        <f t="shared" si="146"/>
        <v>Jamicon R-06.0x11.0</v>
      </c>
      <c r="Q810" s="12" t="str">
        <f t="shared" si="151"/>
        <v>120µF</v>
      </c>
      <c r="R810" s="12" t="str">
        <f t="shared" si="152"/>
        <v>25v</v>
      </c>
      <c r="S810" s="8" t="str">
        <f t="shared" si="147"/>
        <v>120µF 25v - R06.3-11.0 Jamicon (WL)</v>
      </c>
      <c r="T810" s="8">
        <f t="shared" si="153"/>
        <v>1</v>
      </c>
      <c r="U810" s="8" t="b">
        <f>NOT(ISNA(MATCH($P810,Packages!$A:$A,0)))</f>
        <v>1</v>
      </c>
    </row>
    <row r="811" spans="1:21" hidden="1">
      <c r="A811" s="6" t="s">
        <v>47</v>
      </c>
      <c r="B811" s="6" t="s">
        <v>53</v>
      </c>
      <c r="C811" s="33">
        <v>150</v>
      </c>
      <c r="D811" s="34">
        <v>25</v>
      </c>
      <c r="E811" s="6" t="s">
        <v>119</v>
      </c>
      <c r="F811" s="6" t="s">
        <v>59</v>
      </c>
      <c r="G811" s="6"/>
      <c r="H811" s="7" t="s">
        <v>141</v>
      </c>
      <c r="I811" s="7" t="str">
        <f t="shared" si="155"/>
        <v>JAMICON</v>
      </c>
      <c r="J811" s="7" t="str">
        <f t="shared" si="156"/>
        <v>150µF 25v</v>
      </c>
      <c r="K811" s="7"/>
      <c r="L811" s="7" t="str">
        <f t="shared" si="154"/>
        <v>WL</v>
      </c>
      <c r="M811" s="31">
        <f t="shared" si="148"/>
        <v>6.3</v>
      </c>
      <c r="N811" s="31">
        <f t="shared" si="149"/>
        <v>15</v>
      </c>
      <c r="O811" s="8" t="str">
        <f t="shared" si="150"/>
        <v>Jamicon-WL</v>
      </c>
      <c r="P811" s="12" t="str">
        <f t="shared" si="146"/>
        <v>Jamicon R-06.0x15.0</v>
      </c>
      <c r="Q811" s="12" t="str">
        <f t="shared" si="151"/>
        <v>150µF</v>
      </c>
      <c r="R811" s="12" t="str">
        <f t="shared" si="152"/>
        <v>25v</v>
      </c>
      <c r="S811" s="8" t="str">
        <f t="shared" si="147"/>
        <v>150µF 25v - R06.3-15.0 Jamicon (WL)</v>
      </c>
      <c r="T811" s="8">
        <f t="shared" si="153"/>
        <v>1</v>
      </c>
      <c r="U811" s="8" t="b">
        <f>NOT(ISNA(MATCH($P811,Packages!$A:$A,0)))</f>
        <v>1</v>
      </c>
    </row>
    <row r="812" spans="1:21" hidden="1">
      <c r="A812" s="6" t="s">
        <v>47</v>
      </c>
      <c r="B812" s="6" t="s">
        <v>53</v>
      </c>
      <c r="C812" s="33">
        <v>150</v>
      </c>
      <c r="D812" s="34">
        <v>25</v>
      </c>
      <c r="E812" s="6" t="s">
        <v>108</v>
      </c>
      <c r="F812" s="6" t="s">
        <v>59</v>
      </c>
      <c r="G812" s="6"/>
      <c r="H812" s="7" t="s">
        <v>141</v>
      </c>
      <c r="I812" s="7" t="str">
        <f t="shared" si="155"/>
        <v>JAMICON</v>
      </c>
      <c r="J812" s="7" t="str">
        <f t="shared" si="156"/>
        <v>150µF 25v</v>
      </c>
      <c r="K812" s="7"/>
      <c r="L812" s="7" t="str">
        <f t="shared" si="154"/>
        <v>WL</v>
      </c>
      <c r="M812" s="31">
        <f t="shared" si="148"/>
        <v>8</v>
      </c>
      <c r="N812" s="31">
        <f t="shared" si="149"/>
        <v>11.5</v>
      </c>
      <c r="O812" s="8" t="str">
        <f t="shared" si="150"/>
        <v>Jamicon-WL</v>
      </c>
      <c r="P812" s="12" t="str">
        <f t="shared" si="146"/>
        <v>Jamicon R-08.0x12.0</v>
      </c>
      <c r="Q812" s="12" t="str">
        <f t="shared" si="151"/>
        <v>150µF</v>
      </c>
      <c r="R812" s="12" t="str">
        <f t="shared" si="152"/>
        <v>25v</v>
      </c>
      <c r="S812" s="8" t="str">
        <f t="shared" si="147"/>
        <v>150µF 25v - R08.0-11.5 Jamicon (WL)</v>
      </c>
      <c r="T812" s="8">
        <f t="shared" si="153"/>
        <v>1</v>
      </c>
      <c r="U812" s="8" t="b">
        <f>NOT(ISNA(MATCH($P812,Packages!$A:$A,0)))</f>
        <v>1</v>
      </c>
    </row>
    <row r="813" spans="1:21" hidden="1">
      <c r="A813" s="6" t="s">
        <v>47</v>
      </c>
      <c r="B813" s="6" t="s">
        <v>53</v>
      </c>
      <c r="C813" s="33">
        <v>180</v>
      </c>
      <c r="D813" s="34">
        <v>25</v>
      </c>
      <c r="E813" s="6" t="s">
        <v>119</v>
      </c>
      <c r="F813" s="6" t="s">
        <v>59</v>
      </c>
      <c r="G813" s="6"/>
      <c r="H813" s="7" t="s">
        <v>141</v>
      </c>
      <c r="I813" s="7" t="str">
        <f t="shared" si="155"/>
        <v>JAMICON</v>
      </c>
      <c r="J813" s="7" t="str">
        <f t="shared" si="156"/>
        <v>180µF 25v</v>
      </c>
      <c r="K813" s="7"/>
      <c r="L813" s="7" t="str">
        <f t="shared" si="154"/>
        <v>WL</v>
      </c>
      <c r="M813" s="31">
        <f t="shared" si="148"/>
        <v>6.3</v>
      </c>
      <c r="N813" s="31">
        <f t="shared" si="149"/>
        <v>15</v>
      </c>
      <c r="O813" s="8" t="str">
        <f t="shared" si="150"/>
        <v>Jamicon-WL</v>
      </c>
      <c r="P813" s="12" t="str">
        <f t="shared" si="146"/>
        <v>Jamicon R-06.0x15.0</v>
      </c>
      <c r="Q813" s="12" t="str">
        <f t="shared" si="151"/>
        <v>180µF</v>
      </c>
      <c r="R813" s="12" t="str">
        <f t="shared" si="152"/>
        <v>25v</v>
      </c>
      <c r="S813" s="8" t="str">
        <f t="shared" si="147"/>
        <v>180µF 25v - R06.3-15.0 Jamicon (WL)</v>
      </c>
      <c r="T813" s="8">
        <f t="shared" si="153"/>
        <v>1</v>
      </c>
      <c r="U813" s="8" t="b">
        <f>NOT(ISNA(MATCH($P813,Packages!$A:$A,0)))</f>
        <v>1</v>
      </c>
    </row>
    <row r="814" spans="1:21" hidden="1">
      <c r="A814" s="6" t="s">
        <v>47</v>
      </c>
      <c r="B814" s="6" t="s">
        <v>53</v>
      </c>
      <c r="C814" s="33">
        <v>180</v>
      </c>
      <c r="D814" s="34">
        <v>25</v>
      </c>
      <c r="E814" s="6" t="s">
        <v>108</v>
      </c>
      <c r="F814" s="6" t="s">
        <v>59</v>
      </c>
      <c r="G814" s="6"/>
      <c r="H814" s="7" t="s">
        <v>141</v>
      </c>
      <c r="I814" s="7" t="str">
        <f t="shared" si="155"/>
        <v>JAMICON</v>
      </c>
      <c r="J814" s="7" t="str">
        <f t="shared" si="156"/>
        <v>180µF 25v</v>
      </c>
      <c r="K814" s="7"/>
      <c r="L814" s="7" t="str">
        <f t="shared" si="154"/>
        <v>WL</v>
      </c>
      <c r="M814" s="31">
        <f t="shared" si="148"/>
        <v>8</v>
      </c>
      <c r="N814" s="31">
        <f t="shared" si="149"/>
        <v>11.5</v>
      </c>
      <c r="O814" s="8" t="str">
        <f t="shared" si="150"/>
        <v>Jamicon-WL</v>
      </c>
      <c r="P814" s="12" t="str">
        <f t="shared" si="146"/>
        <v>Jamicon R-08.0x12.0</v>
      </c>
      <c r="Q814" s="12" t="str">
        <f t="shared" si="151"/>
        <v>180µF</v>
      </c>
      <c r="R814" s="12" t="str">
        <f t="shared" si="152"/>
        <v>25v</v>
      </c>
      <c r="S814" s="8" t="str">
        <f t="shared" si="147"/>
        <v>180µF 25v - R08.0-11.5 Jamicon (WL)</v>
      </c>
      <c r="T814" s="8">
        <f t="shared" si="153"/>
        <v>1</v>
      </c>
      <c r="U814" s="8" t="b">
        <f>NOT(ISNA(MATCH($P814,Packages!$A:$A,0)))</f>
        <v>1</v>
      </c>
    </row>
    <row r="815" spans="1:21" hidden="1">
      <c r="A815" s="6" t="s">
        <v>47</v>
      </c>
      <c r="B815" s="6" t="s">
        <v>53</v>
      </c>
      <c r="C815" s="33">
        <v>220</v>
      </c>
      <c r="D815" s="34">
        <v>25</v>
      </c>
      <c r="E815" s="6" t="s">
        <v>119</v>
      </c>
      <c r="F815" s="6" t="s">
        <v>59</v>
      </c>
      <c r="G815" s="6"/>
      <c r="H815" s="7" t="s">
        <v>141</v>
      </c>
      <c r="I815" s="7" t="str">
        <f t="shared" si="155"/>
        <v>JAMICON</v>
      </c>
      <c r="J815" s="7" t="str">
        <f t="shared" si="156"/>
        <v>220µF 25v</v>
      </c>
      <c r="K815" s="7"/>
      <c r="L815" s="7" t="str">
        <f t="shared" si="154"/>
        <v>WL</v>
      </c>
      <c r="M815" s="31">
        <f t="shared" si="148"/>
        <v>6.3</v>
      </c>
      <c r="N815" s="31">
        <f t="shared" si="149"/>
        <v>15</v>
      </c>
      <c r="O815" s="8" t="str">
        <f t="shared" si="150"/>
        <v>Jamicon-WL</v>
      </c>
      <c r="P815" s="12" t="str">
        <f t="shared" si="146"/>
        <v>Jamicon R-06.0x15.0</v>
      </c>
      <c r="Q815" s="12" t="str">
        <f t="shared" si="151"/>
        <v>220µF</v>
      </c>
      <c r="R815" s="12" t="str">
        <f t="shared" si="152"/>
        <v>25v</v>
      </c>
      <c r="S815" s="8" t="str">
        <f t="shared" si="147"/>
        <v>220µF 25v - R06.3-15.0 Jamicon (WL)</v>
      </c>
      <c r="T815" s="8">
        <f t="shared" si="153"/>
        <v>1</v>
      </c>
      <c r="U815" s="8" t="b">
        <f>NOT(ISNA(MATCH($P815,Packages!$A:$A,0)))</f>
        <v>1</v>
      </c>
    </row>
    <row r="816" spans="1:21" hidden="1">
      <c r="A816" s="6" t="s">
        <v>47</v>
      </c>
      <c r="B816" s="6" t="s">
        <v>53</v>
      </c>
      <c r="C816" s="33">
        <v>220</v>
      </c>
      <c r="D816" s="34">
        <v>25</v>
      </c>
      <c r="E816" s="6" t="s">
        <v>108</v>
      </c>
      <c r="F816" s="6" t="s">
        <v>59</v>
      </c>
      <c r="G816" s="6"/>
      <c r="H816" s="7" t="s">
        <v>141</v>
      </c>
      <c r="I816" s="7" t="str">
        <f t="shared" si="155"/>
        <v>JAMICON</v>
      </c>
      <c r="J816" s="7" t="str">
        <f t="shared" si="156"/>
        <v>220µF 25v</v>
      </c>
      <c r="K816" s="7"/>
      <c r="L816" s="7" t="str">
        <f t="shared" si="154"/>
        <v>WL</v>
      </c>
      <c r="M816" s="31">
        <f t="shared" si="148"/>
        <v>8</v>
      </c>
      <c r="N816" s="31">
        <f t="shared" si="149"/>
        <v>11.5</v>
      </c>
      <c r="O816" s="8" t="str">
        <f t="shared" si="150"/>
        <v>Jamicon-WL</v>
      </c>
      <c r="P816" s="12" t="str">
        <f t="shared" si="146"/>
        <v>Jamicon R-08.0x12.0</v>
      </c>
      <c r="Q816" s="12" t="str">
        <f t="shared" si="151"/>
        <v>220µF</v>
      </c>
      <c r="R816" s="12" t="str">
        <f t="shared" si="152"/>
        <v>25v</v>
      </c>
      <c r="S816" s="8" t="str">
        <f t="shared" si="147"/>
        <v>220µF 25v - R08.0-11.5 Jamicon (WL)</v>
      </c>
      <c r="T816" s="8">
        <f t="shared" si="153"/>
        <v>1</v>
      </c>
      <c r="U816" s="8" t="b">
        <f>NOT(ISNA(MATCH($P816,Packages!$A:$A,0)))</f>
        <v>1</v>
      </c>
    </row>
    <row r="817" spans="1:21" hidden="1">
      <c r="A817" s="6" t="s">
        <v>47</v>
      </c>
      <c r="B817" s="6" t="s">
        <v>53</v>
      </c>
      <c r="C817" s="33">
        <v>270</v>
      </c>
      <c r="D817" s="34">
        <v>25</v>
      </c>
      <c r="E817" s="6" t="s">
        <v>120</v>
      </c>
      <c r="F817" s="6" t="s">
        <v>59</v>
      </c>
      <c r="G817" s="6"/>
      <c r="H817" s="7" t="s">
        <v>141</v>
      </c>
      <c r="I817" s="7" t="str">
        <f t="shared" si="155"/>
        <v>JAMICON</v>
      </c>
      <c r="J817" s="7" t="str">
        <f t="shared" si="156"/>
        <v>270µF 25v</v>
      </c>
      <c r="K817" s="7"/>
      <c r="L817" s="7" t="str">
        <f t="shared" si="154"/>
        <v>WL</v>
      </c>
      <c r="M817" s="31">
        <f t="shared" si="148"/>
        <v>8</v>
      </c>
      <c r="N817" s="31">
        <f t="shared" si="149"/>
        <v>15</v>
      </c>
      <c r="O817" s="8" t="str">
        <f t="shared" si="150"/>
        <v>Jamicon-WL</v>
      </c>
      <c r="P817" s="12" t="str">
        <f t="shared" si="146"/>
        <v>Jamicon R-08.0x15.0</v>
      </c>
      <c r="Q817" s="12" t="str">
        <f t="shared" si="151"/>
        <v>270µF</v>
      </c>
      <c r="R817" s="12" t="str">
        <f t="shared" si="152"/>
        <v>25v</v>
      </c>
      <c r="S817" s="8" t="str">
        <f t="shared" si="147"/>
        <v>270µF 25v - R08.0-15.0 Jamicon (WL)</v>
      </c>
      <c r="T817" s="8">
        <f t="shared" si="153"/>
        <v>1</v>
      </c>
      <c r="U817" s="8" t="b">
        <f>NOT(ISNA(MATCH($P817,Packages!$A:$A,0)))</f>
        <v>1</v>
      </c>
    </row>
    <row r="818" spans="1:21" hidden="1">
      <c r="A818" s="6" t="s">
        <v>47</v>
      </c>
      <c r="B818" s="6" t="s">
        <v>53</v>
      </c>
      <c r="C818" s="33">
        <v>270</v>
      </c>
      <c r="D818" s="34">
        <v>25</v>
      </c>
      <c r="E818" s="6" t="s">
        <v>92</v>
      </c>
      <c r="F818" s="6" t="s">
        <v>59</v>
      </c>
      <c r="G818" s="6"/>
      <c r="H818" s="7" t="s">
        <v>141</v>
      </c>
      <c r="I818" s="7" t="str">
        <f t="shared" si="155"/>
        <v>JAMICON</v>
      </c>
      <c r="J818" s="7" t="str">
        <f t="shared" si="156"/>
        <v>270µF 25v</v>
      </c>
      <c r="K818" s="7"/>
      <c r="L818" s="7" t="str">
        <f t="shared" si="154"/>
        <v>WL</v>
      </c>
      <c r="M818" s="31">
        <f t="shared" si="148"/>
        <v>10</v>
      </c>
      <c r="N818" s="31">
        <f t="shared" si="149"/>
        <v>12.5</v>
      </c>
      <c r="O818" s="8" t="str">
        <f t="shared" si="150"/>
        <v>Jamicon-WL</v>
      </c>
      <c r="P818" s="12" t="str">
        <f t="shared" si="146"/>
        <v>Jamicon R-10.0x13.0</v>
      </c>
      <c r="Q818" s="12" t="str">
        <f t="shared" si="151"/>
        <v>270µF</v>
      </c>
      <c r="R818" s="12" t="str">
        <f t="shared" si="152"/>
        <v>25v</v>
      </c>
      <c r="S818" s="8" t="str">
        <f t="shared" si="147"/>
        <v>270µF 25v - R10.0-12.5 Jamicon (WL)</v>
      </c>
      <c r="T818" s="8">
        <f t="shared" si="153"/>
        <v>1</v>
      </c>
      <c r="U818" s="8" t="b">
        <f>NOT(ISNA(MATCH($P818,Packages!$A:$A,0)))</f>
        <v>1</v>
      </c>
    </row>
    <row r="819" spans="1:21" hidden="1">
      <c r="A819" s="6" t="s">
        <v>47</v>
      </c>
      <c r="B819" s="6" t="s">
        <v>53</v>
      </c>
      <c r="C819" s="33">
        <v>330</v>
      </c>
      <c r="D819" s="34">
        <v>25</v>
      </c>
      <c r="E819" s="6" t="s">
        <v>120</v>
      </c>
      <c r="F819" s="6" t="s">
        <v>59</v>
      </c>
      <c r="G819" s="6"/>
      <c r="H819" s="7" t="s">
        <v>141</v>
      </c>
      <c r="I819" s="7" t="str">
        <f t="shared" si="155"/>
        <v>JAMICON</v>
      </c>
      <c r="J819" s="7" t="str">
        <f t="shared" si="156"/>
        <v>330µF 25v</v>
      </c>
      <c r="K819" s="7"/>
      <c r="L819" s="7" t="str">
        <f t="shared" si="154"/>
        <v>WL</v>
      </c>
      <c r="M819" s="31">
        <f t="shared" si="148"/>
        <v>8</v>
      </c>
      <c r="N819" s="31">
        <f t="shared" si="149"/>
        <v>15</v>
      </c>
      <c r="O819" s="8" t="str">
        <f t="shared" si="150"/>
        <v>Jamicon-WL</v>
      </c>
      <c r="P819" s="12" t="str">
        <f t="shared" si="146"/>
        <v>Jamicon R-08.0x15.0</v>
      </c>
      <c r="Q819" s="12" t="str">
        <f t="shared" si="151"/>
        <v>330µF</v>
      </c>
      <c r="R819" s="12" t="str">
        <f t="shared" si="152"/>
        <v>25v</v>
      </c>
      <c r="S819" s="8" t="str">
        <f t="shared" si="147"/>
        <v>330µF 25v - R08.0-15.0 Jamicon (WL)</v>
      </c>
      <c r="T819" s="8">
        <f t="shared" si="153"/>
        <v>1</v>
      </c>
      <c r="U819" s="8" t="b">
        <f>NOT(ISNA(MATCH($P819,Packages!$A:$A,0)))</f>
        <v>1</v>
      </c>
    </row>
    <row r="820" spans="1:21" hidden="1">
      <c r="A820" s="6" t="s">
        <v>47</v>
      </c>
      <c r="B820" s="6" t="s">
        <v>53</v>
      </c>
      <c r="C820" s="33">
        <v>330</v>
      </c>
      <c r="D820" s="34">
        <v>25</v>
      </c>
      <c r="E820" s="6" t="s">
        <v>92</v>
      </c>
      <c r="F820" s="6" t="s">
        <v>59</v>
      </c>
      <c r="G820" s="6"/>
      <c r="H820" s="7" t="s">
        <v>141</v>
      </c>
      <c r="I820" s="7" t="str">
        <f t="shared" si="155"/>
        <v>JAMICON</v>
      </c>
      <c r="J820" s="7" t="str">
        <f t="shared" si="156"/>
        <v>330µF 25v</v>
      </c>
      <c r="K820" s="7"/>
      <c r="L820" s="7" t="str">
        <f t="shared" si="154"/>
        <v>WL</v>
      </c>
      <c r="M820" s="31">
        <f t="shared" si="148"/>
        <v>10</v>
      </c>
      <c r="N820" s="31">
        <f t="shared" si="149"/>
        <v>12.5</v>
      </c>
      <c r="O820" s="8" t="str">
        <f t="shared" si="150"/>
        <v>Jamicon-WL</v>
      </c>
      <c r="P820" s="12" t="str">
        <f t="shared" si="146"/>
        <v>Jamicon R-10.0x13.0</v>
      </c>
      <c r="Q820" s="12" t="str">
        <f t="shared" si="151"/>
        <v>330µF</v>
      </c>
      <c r="R820" s="12" t="str">
        <f t="shared" si="152"/>
        <v>25v</v>
      </c>
      <c r="S820" s="8" t="str">
        <f t="shared" si="147"/>
        <v>330µF 25v - R10.0-12.5 Jamicon (WL)</v>
      </c>
      <c r="T820" s="8">
        <f t="shared" si="153"/>
        <v>1</v>
      </c>
      <c r="U820" s="8" t="b">
        <f>NOT(ISNA(MATCH($P820,Packages!$A:$A,0)))</f>
        <v>1</v>
      </c>
    </row>
    <row r="821" spans="1:21" hidden="1">
      <c r="A821" s="6" t="s">
        <v>47</v>
      </c>
      <c r="B821" s="6" t="s">
        <v>53</v>
      </c>
      <c r="C821" s="33">
        <v>390</v>
      </c>
      <c r="D821" s="34">
        <v>25</v>
      </c>
      <c r="E821" s="6" t="s">
        <v>121</v>
      </c>
      <c r="F821" s="6" t="s">
        <v>59</v>
      </c>
      <c r="G821" s="6"/>
      <c r="H821" s="7" t="s">
        <v>141</v>
      </c>
      <c r="I821" s="7" t="str">
        <f t="shared" si="155"/>
        <v>JAMICON</v>
      </c>
      <c r="J821" s="7" t="str">
        <f t="shared" si="156"/>
        <v>390µF 25v</v>
      </c>
      <c r="K821" s="7"/>
      <c r="L821" s="7" t="str">
        <f t="shared" si="154"/>
        <v>WL</v>
      </c>
      <c r="M821" s="31">
        <f t="shared" si="148"/>
        <v>8</v>
      </c>
      <c r="N821" s="31">
        <f t="shared" si="149"/>
        <v>20</v>
      </c>
      <c r="O821" s="8" t="str">
        <f t="shared" si="150"/>
        <v>Jamicon-WL</v>
      </c>
      <c r="P821" s="12" t="str">
        <f t="shared" si="146"/>
        <v>Jamicon R-08.0x20.0</v>
      </c>
      <c r="Q821" s="12" t="str">
        <f t="shared" si="151"/>
        <v>390µF</v>
      </c>
      <c r="R821" s="12" t="str">
        <f t="shared" si="152"/>
        <v>25v</v>
      </c>
      <c r="S821" s="8" t="str">
        <f t="shared" si="147"/>
        <v>390µF 25v - R08.0-20.0 Jamicon (WL)</v>
      </c>
      <c r="T821" s="8">
        <f t="shared" si="153"/>
        <v>1</v>
      </c>
      <c r="U821" s="8" t="b">
        <f>NOT(ISNA(MATCH($P821,Packages!$A:$A,0)))</f>
        <v>1</v>
      </c>
    </row>
    <row r="822" spans="1:21" hidden="1">
      <c r="A822" s="6" t="s">
        <v>47</v>
      </c>
      <c r="B822" s="6" t="s">
        <v>53</v>
      </c>
      <c r="C822" s="33">
        <v>390</v>
      </c>
      <c r="D822" s="34">
        <v>25</v>
      </c>
      <c r="E822" s="6" t="s">
        <v>74</v>
      </c>
      <c r="F822" s="6" t="s">
        <v>59</v>
      </c>
      <c r="G822" s="6"/>
      <c r="H822" s="7" t="s">
        <v>141</v>
      </c>
      <c r="I822" s="7" t="str">
        <f t="shared" si="155"/>
        <v>JAMICON</v>
      </c>
      <c r="J822" s="7" t="str">
        <f t="shared" si="156"/>
        <v>390µF 25v</v>
      </c>
      <c r="K822" s="7"/>
      <c r="L822" s="7" t="str">
        <f t="shared" si="154"/>
        <v>WL</v>
      </c>
      <c r="M822" s="31">
        <f t="shared" si="148"/>
        <v>10</v>
      </c>
      <c r="N822" s="31">
        <f t="shared" si="149"/>
        <v>16</v>
      </c>
      <c r="O822" s="8" t="str">
        <f t="shared" si="150"/>
        <v>Jamicon-WL</v>
      </c>
      <c r="P822" s="12" t="str">
        <f t="shared" si="146"/>
        <v>Jamicon R-10.0x16.0</v>
      </c>
      <c r="Q822" s="12" t="str">
        <f t="shared" si="151"/>
        <v>390µF</v>
      </c>
      <c r="R822" s="12" t="str">
        <f t="shared" si="152"/>
        <v>25v</v>
      </c>
      <c r="S822" s="8" t="str">
        <f t="shared" si="147"/>
        <v>390µF 25v - R10.0-16.0 Jamicon (WL)</v>
      </c>
      <c r="T822" s="8">
        <f t="shared" si="153"/>
        <v>1</v>
      </c>
      <c r="U822" s="8" t="b">
        <f>NOT(ISNA(MATCH($P822,Packages!$A:$A,0)))</f>
        <v>1</v>
      </c>
    </row>
    <row r="823" spans="1:21" hidden="1">
      <c r="A823" s="6" t="s">
        <v>47</v>
      </c>
      <c r="B823" s="6" t="s">
        <v>53</v>
      </c>
      <c r="C823" s="33">
        <v>470</v>
      </c>
      <c r="D823" s="34">
        <v>25</v>
      </c>
      <c r="E823" s="6" t="s">
        <v>121</v>
      </c>
      <c r="F823" s="6" t="s">
        <v>59</v>
      </c>
      <c r="G823" s="6"/>
      <c r="H823" s="7" t="s">
        <v>141</v>
      </c>
      <c r="I823" s="7" t="str">
        <f t="shared" si="155"/>
        <v>JAMICON</v>
      </c>
      <c r="J823" s="7" t="str">
        <f t="shared" si="156"/>
        <v>470µF 25v</v>
      </c>
      <c r="K823" s="7"/>
      <c r="L823" s="7" t="str">
        <f t="shared" si="154"/>
        <v>WL</v>
      </c>
      <c r="M823" s="31">
        <f t="shared" si="148"/>
        <v>8</v>
      </c>
      <c r="N823" s="31">
        <f t="shared" si="149"/>
        <v>20</v>
      </c>
      <c r="O823" s="8" t="str">
        <f t="shared" si="150"/>
        <v>Jamicon-WL</v>
      </c>
      <c r="P823" s="12" t="str">
        <f t="shared" si="146"/>
        <v>Jamicon R-08.0x20.0</v>
      </c>
      <c r="Q823" s="12" t="str">
        <f t="shared" si="151"/>
        <v>470µF</v>
      </c>
      <c r="R823" s="12" t="str">
        <f t="shared" si="152"/>
        <v>25v</v>
      </c>
      <c r="S823" s="8" t="str">
        <f t="shared" si="147"/>
        <v>470µF 25v - R08.0-20.0 Jamicon (WL)</v>
      </c>
      <c r="T823" s="8">
        <f t="shared" si="153"/>
        <v>1</v>
      </c>
      <c r="U823" s="8" t="b">
        <f>NOT(ISNA(MATCH($P823,Packages!$A:$A,0)))</f>
        <v>1</v>
      </c>
    </row>
    <row r="824" spans="1:21" hidden="1">
      <c r="A824" s="6" t="s">
        <v>47</v>
      </c>
      <c r="B824" s="6" t="s">
        <v>53</v>
      </c>
      <c r="C824" s="33">
        <v>470</v>
      </c>
      <c r="D824" s="34">
        <v>25</v>
      </c>
      <c r="E824" s="6" t="s">
        <v>74</v>
      </c>
      <c r="F824" s="6" t="s">
        <v>59</v>
      </c>
      <c r="G824" s="6"/>
      <c r="H824" s="7" t="s">
        <v>141</v>
      </c>
      <c r="I824" s="7" t="str">
        <f t="shared" si="155"/>
        <v>JAMICON</v>
      </c>
      <c r="J824" s="7" t="str">
        <f t="shared" si="156"/>
        <v>470µF 25v</v>
      </c>
      <c r="K824" s="7"/>
      <c r="L824" s="7" t="str">
        <f t="shared" si="154"/>
        <v>WL</v>
      </c>
      <c r="M824" s="31">
        <f t="shared" si="148"/>
        <v>10</v>
      </c>
      <c r="N824" s="31">
        <f t="shared" si="149"/>
        <v>16</v>
      </c>
      <c r="O824" s="8" t="str">
        <f t="shared" si="150"/>
        <v>Jamicon-WL</v>
      </c>
      <c r="P824" s="12" t="str">
        <f t="shared" si="146"/>
        <v>Jamicon R-10.0x16.0</v>
      </c>
      <c r="Q824" s="12" t="str">
        <f t="shared" si="151"/>
        <v>470µF</v>
      </c>
      <c r="R824" s="12" t="str">
        <f t="shared" si="152"/>
        <v>25v</v>
      </c>
      <c r="S824" s="8" t="str">
        <f t="shared" si="147"/>
        <v>470µF 25v - R10.0-16.0 Jamicon (WL)</v>
      </c>
      <c r="T824" s="8">
        <f t="shared" si="153"/>
        <v>1</v>
      </c>
      <c r="U824" s="8" t="b">
        <f>NOT(ISNA(MATCH($P824,Packages!$A:$A,0)))</f>
        <v>1</v>
      </c>
    </row>
    <row r="825" spans="1:21" hidden="1">
      <c r="A825" s="6" t="s">
        <v>47</v>
      </c>
      <c r="B825" s="6" t="s">
        <v>53</v>
      </c>
      <c r="C825" s="33">
        <v>560</v>
      </c>
      <c r="D825" s="34">
        <v>25</v>
      </c>
      <c r="E825" s="6" t="s">
        <v>121</v>
      </c>
      <c r="F825" s="6" t="s">
        <v>59</v>
      </c>
      <c r="G825" s="6"/>
      <c r="H825" s="7" t="s">
        <v>141</v>
      </c>
      <c r="I825" s="7" t="str">
        <f t="shared" si="155"/>
        <v>JAMICON</v>
      </c>
      <c r="J825" s="7" t="str">
        <f t="shared" si="156"/>
        <v>560µF 25v</v>
      </c>
      <c r="K825" s="7"/>
      <c r="L825" s="7" t="str">
        <f t="shared" si="154"/>
        <v>WL</v>
      </c>
      <c r="M825" s="31">
        <f t="shared" si="148"/>
        <v>8</v>
      </c>
      <c r="N825" s="31">
        <f t="shared" si="149"/>
        <v>20</v>
      </c>
      <c r="O825" s="8" t="str">
        <f t="shared" si="150"/>
        <v>Jamicon-WL</v>
      </c>
      <c r="P825" s="12" t="str">
        <f t="shared" si="146"/>
        <v>Jamicon R-08.0x20.0</v>
      </c>
      <c r="Q825" s="12" t="str">
        <f t="shared" si="151"/>
        <v>560µF</v>
      </c>
      <c r="R825" s="12" t="str">
        <f t="shared" si="152"/>
        <v>25v</v>
      </c>
      <c r="S825" s="8" t="str">
        <f t="shared" si="147"/>
        <v>560µF 25v - R08.0-20.0 Jamicon (WL)</v>
      </c>
      <c r="T825" s="8">
        <f t="shared" si="153"/>
        <v>1</v>
      </c>
      <c r="U825" s="8" t="b">
        <f>NOT(ISNA(MATCH($P825,Packages!$A:$A,0)))</f>
        <v>1</v>
      </c>
    </row>
    <row r="826" spans="1:21" hidden="1">
      <c r="A826" s="6" t="s">
        <v>47</v>
      </c>
      <c r="B826" s="6" t="s">
        <v>53</v>
      </c>
      <c r="C826" s="33">
        <v>560</v>
      </c>
      <c r="D826" s="34">
        <v>25</v>
      </c>
      <c r="E826" s="6" t="s">
        <v>74</v>
      </c>
      <c r="F826" s="6" t="s">
        <v>59</v>
      </c>
      <c r="G826" s="6"/>
      <c r="H826" s="7" t="s">
        <v>141</v>
      </c>
      <c r="I826" s="7" t="str">
        <f t="shared" si="155"/>
        <v>JAMICON</v>
      </c>
      <c r="J826" s="7" t="str">
        <f t="shared" si="156"/>
        <v>560µF 25v</v>
      </c>
      <c r="K826" s="7"/>
      <c r="L826" s="7" t="str">
        <f t="shared" si="154"/>
        <v>WL</v>
      </c>
      <c r="M826" s="31">
        <f t="shared" si="148"/>
        <v>10</v>
      </c>
      <c r="N826" s="31">
        <f t="shared" si="149"/>
        <v>16</v>
      </c>
      <c r="O826" s="8" t="str">
        <f t="shared" si="150"/>
        <v>Jamicon-WL</v>
      </c>
      <c r="P826" s="12" t="str">
        <f t="shared" si="146"/>
        <v>Jamicon R-10.0x16.0</v>
      </c>
      <c r="Q826" s="12" t="str">
        <f t="shared" si="151"/>
        <v>560µF</v>
      </c>
      <c r="R826" s="12" t="str">
        <f t="shared" si="152"/>
        <v>25v</v>
      </c>
      <c r="S826" s="8" t="str">
        <f t="shared" si="147"/>
        <v>560µF 25v - R10.0-16.0 Jamicon (WL)</v>
      </c>
      <c r="T826" s="8">
        <f t="shared" si="153"/>
        <v>1</v>
      </c>
      <c r="U826" s="8" t="b">
        <f>NOT(ISNA(MATCH($P826,Packages!$A:$A,0)))</f>
        <v>1</v>
      </c>
    </row>
    <row r="827" spans="1:21" hidden="1">
      <c r="A827" s="6" t="s">
        <v>47</v>
      </c>
      <c r="B827" s="6" t="s">
        <v>53</v>
      </c>
      <c r="C827" s="33">
        <v>680</v>
      </c>
      <c r="D827" s="34">
        <v>25</v>
      </c>
      <c r="E827" s="6" t="s">
        <v>94</v>
      </c>
      <c r="F827" s="6" t="s">
        <v>59</v>
      </c>
      <c r="G827" s="6"/>
      <c r="H827" s="7" t="s">
        <v>141</v>
      </c>
      <c r="I827" s="7" t="str">
        <f t="shared" si="155"/>
        <v>JAMICON</v>
      </c>
      <c r="J827" s="7" t="str">
        <f t="shared" si="156"/>
        <v>680µF 25v</v>
      </c>
      <c r="K827" s="7"/>
      <c r="L827" s="7" t="str">
        <f t="shared" si="154"/>
        <v>WL</v>
      </c>
      <c r="M827" s="31">
        <f t="shared" si="148"/>
        <v>10</v>
      </c>
      <c r="N827" s="31">
        <f t="shared" si="149"/>
        <v>20</v>
      </c>
      <c r="O827" s="8" t="str">
        <f t="shared" si="150"/>
        <v>Jamicon-WL</v>
      </c>
      <c r="P827" s="12" t="str">
        <f t="shared" si="146"/>
        <v>Jamicon R-10.0x20.0</v>
      </c>
      <c r="Q827" s="12" t="str">
        <f t="shared" si="151"/>
        <v>680µF</v>
      </c>
      <c r="R827" s="12" t="str">
        <f t="shared" si="152"/>
        <v>25v</v>
      </c>
      <c r="S827" s="8" t="str">
        <f t="shared" si="147"/>
        <v>680µF 25v - R10.0-20.0 Jamicon (WL)</v>
      </c>
      <c r="T827" s="8">
        <f t="shared" si="153"/>
        <v>1</v>
      </c>
      <c r="U827" s="8" t="b">
        <f>NOT(ISNA(MATCH($P827,Packages!$A:$A,0)))</f>
        <v>1</v>
      </c>
    </row>
    <row r="828" spans="1:21" hidden="1">
      <c r="A828" s="6" t="s">
        <v>47</v>
      </c>
      <c r="B828" s="6" t="s">
        <v>53</v>
      </c>
      <c r="C828" s="33">
        <v>680</v>
      </c>
      <c r="D828" s="34">
        <v>25</v>
      </c>
      <c r="E828" s="6" t="s">
        <v>122</v>
      </c>
      <c r="F828" s="6" t="s">
        <v>59</v>
      </c>
      <c r="G828" s="6"/>
      <c r="H828" s="7" t="s">
        <v>141</v>
      </c>
      <c r="I828" s="7" t="str">
        <f t="shared" si="155"/>
        <v>JAMICON</v>
      </c>
      <c r="J828" s="7" t="str">
        <f t="shared" si="156"/>
        <v>680µF 25v</v>
      </c>
      <c r="K828" s="7"/>
      <c r="L828" s="7" t="str">
        <f t="shared" si="154"/>
        <v>WL</v>
      </c>
      <c r="M828" s="31">
        <f t="shared" si="148"/>
        <v>12.5</v>
      </c>
      <c r="N828" s="31">
        <f t="shared" si="149"/>
        <v>15</v>
      </c>
      <c r="O828" s="8" t="str">
        <f t="shared" si="150"/>
        <v>Jamicon-WL</v>
      </c>
      <c r="P828" s="12" t="str">
        <f t="shared" si="146"/>
        <v>Jamicon R-13.0x15.0</v>
      </c>
      <c r="Q828" s="12" t="str">
        <f t="shared" si="151"/>
        <v>680µF</v>
      </c>
      <c r="R828" s="12" t="str">
        <f t="shared" si="152"/>
        <v>25v</v>
      </c>
      <c r="S828" s="8" t="str">
        <f t="shared" si="147"/>
        <v>680µF 25v - R12.5-15.0 Jamicon (WL)</v>
      </c>
      <c r="T828" s="8">
        <f t="shared" si="153"/>
        <v>1</v>
      </c>
      <c r="U828" s="8" t="b">
        <f>NOT(ISNA(MATCH($P828,Packages!$A:$A,0)))</f>
        <v>1</v>
      </c>
    </row>
    <row r="829" spans="1:21" hidden="1">
      <c r="A829" s="6" t="s">
        <v>47</v>
      </c>
      <c r="B829" s="6" t="s">
        <v>53</v>
      </c>
      <c r="C829" s="33">
        <v>820</v>
      </c>
      <c r="D829" s="34">
        <v>25</v>
      </c>
      <c r="E829" s="6" t="s">
        <v>123</v>
      </c>
      <c r="F829" s="6" t="s">
        <v>59</v>
      </c>
      <c r="G829" s="6"/>
      <c r="H829" s="7" t="s">
        <v>141</v>
      </c>
      <c r="I829" s="7" t="str">
        <f t="shared" si="155"/>
        <v>JAMICON</v>
      </c>
      <c r="J829" s="7" t="str">
        <f t="shared" si="156"/>
        <v>820µF 25v</v>
      </c>
      <c r="K829" s="7"/>
      <c r="L829" s="7" t="str">
        <f t="shared" si="154"/>
        <v>WL</v>
      </c>
      <c r="M829" s="31">
        <f t="shared" si="148"/>
        <v>10</v>
      </c>
      <c r="N829" s="31">
        <f t="shared" si="149"/>
        <v>25</v>
      </c>
      <c r="O829" s="8" t="str">
        <f t="shared" si="150"/>
        <v>Jamicon-WL</v>
      </c>
      <c r="P829" s="12" t="str">
        <f t="shared" si="146"/>
        <v>Jamicon R-10.0x25.0</v>
      </c>
      <c r="Q829" s="12" t="str">
        <f t="shared" si="151"/>
        <v>820µF</v>
      </c>
      <c r="R829" s="12" t="str">
        <f t="shared" si="152"/>
        <v>25v</v>
      </c>
      <c r="S829" s="8" t="str">
        <f t="shared" si="147"/>
        <v>820µF 25v - R10.0-25.0 Jamicon (WL)</v>
      </c>
      <c r="T829" s="8">
        <f t="shared" si="153"/>
        <v>1</v>
      </c>
      <c r="U829" s="8" t="b">
        <f>NOT(ISNA(MATCH($P829,Packages!$A:$A,0)))</f>
        <v>1</v>
      </c>
    </row>
    <row r="830" spans="1:21" hidden="1">
      <c r="A830" s="6" t="s">
        <v>47</v>
      </c>
      <c r="B830" s="6" t="s">
        <v>53</v>
      </c>
      <c r="C830" s="33">
        <v>820</v>
      </c>
      <c r="D830" s="34">
        <v>25</v>
      </c>
      <c r="E830" s="6" t="s">
        <v>124</v>
      </c>
      <c r="F830" s="6" t="s">
        <v>59</v>
      </c>
      <c r="G830" s="6"/>
      <c r="H830" s="7" t="s">
        <v>141</v>
      </c>
      <c r="I830" s="7" t="str">
        <f t="shared" si="155"/>
        <v>JAMICON</v>
      </c>
      <c r="J830" s="7" t="str">
        <f t="shared" si="156"/>
        <v>820µF 25v</v>
      </c>
      <c r="K830" s="7"/>
      <c r="L830" s="7" t="str">
        <f t="shared" si="154"/>
        <v>WL</v>
      </c>
      <c r="M830" s="31">
        <f t="shared" si="148"/>
        <v>12.5</v>
      </c>
      <c r="N830" s="31">
        <f t="shared" si="149"/>
        <v>18</v>
      </c>
      <c r="O830" s="8" t="str">
        <f t="shared" si="150"/>
        <v>Jamicon-WL</v>
      </c>
      <c r="P830" s="12" t="str">
        <f t="shared" si="146"/>
        <v>Jamicon R-13.0x18.0</v>
      </c>
      <c r="Q830" s="12" t="str">
        <f t="shared" si="151"/>
        <v>820µF</v>
      </c>
      <c r="R830" s="12" t="str">
        <f t="shared" si="152"/>
        <v>25v</v>
      </c>
      <c r="S830" s="8" t="str">
        <f t="shared" si="147"/>
        <v>820µF 25v - R12.5-18.0 Jamicon (WL)</v>
      </c>
      <c r="T830" s="8">
        <f t="shared" si="153"/>
        <v>1</v>
      </c>
      <c r="U830" s="8" t="b">
        <f>NOT(ISNA(MATCH($P830,Packages!$A:$A,0)))</f>
        <v>1</v>
      </c>
    </row>
    <row r="831" spans="1:21" hidden="1">
      <c r="A831" s="6" t="s">
        <v>47</v>
      </c>
      <c r="B831" s="6" t="s">
        <v>53</v>
      </c>
      <c r="C831" s="33">
        <v>1000</v>
      </c>
      <c r="D831" s="34">
        <v>25</v>
      </c>
      <c r="E831" s="6" t="s">
        <v>125</v>
      </c>
      <c r="F831" s="6" t="s">
        <v>59</v>
      </c>
      <c r="G831" s="6"/>
      <c r="H831" s="7" t="s">
        <v>141</v>
      </c>
      <c r="I831" s="7" t="str">
        <f t="shared" si="155"/>
        <v>JAMICON</v>
      </c>
      <c r="J831" s="7" t="str">
        <f t="shared" si="156"/>
        <v>1000µF 25v</v>
      </c>
      <c r="K831" s="7"/>
      <c r="L831" s="7" t="str">
        <f t="shared" si="154"/>
        <v>WL</v>
      </c>
      <c r="M831" s="31">
        <f t="shared" si="148"/>
        <v>10</v>
      </c>
      <c r="N831" s="31">
        <f t="shared" si="149"/>
        <v>28</v>
      </c>
      <c r="O831" s="8" t="str">
        <f t="shared" si="150"/>
        <v>Jamicon-WL</v>
      </c>
      <c r="P831" s="12" t="str">
        <f t="shared" si="146"/>
        <v>Jamicon R-10.0x28.0</v>
      </c>
      <c r="Q831" s="12" t="str">
        <f t="shared" si="151"/>
        <v>1000µF</v>
      </c>
      <c r="R831" s="12" t="str">
        <f t="shared" si="152"/>
        <v>25v</v>
      </c>
      <c r="S831" s="8" t="str">
        <f t="shared" si="147"/>
        <v>1000µF 25v - R10.0-28.0 Jamicon (WL)</v>
      </c>
      <c r="T831" s="8">
        <f t="shared" si="153"/>
        <v>1</v>
      </c>
      <c r="U831" s="8" t="b">
        <f>NOT(ISNA(MATCH($P831,Packages!$A:$A,0)))</f>
        <v>1</v>
      </c>
    </row>
    <row r="832" spans="1:21" hidden="1">
      <c r="A832" s="6" t="s">
        <v>47</v>
      </c>
      <c r="B832" s="6" t="s">
        <v>53</v>
      </c>
      <c r="C832" s="33">
        <v>1000</v>
      </c>
      <c r="D832" s="34">
        <v>25</v>
      </c>
      <c r="E832" s="6" t="s">
        <v>126</v>
      </c>
      <c r="F832" s="6" t="s">
        <v>59</v>
      </c>
      <c r="G832" s="6"/>
      <c r="H832" s="7" t="s">
        <v>141</v>
      </c>
      <c r="I832" s="7" t="str">
        <f t="shared" si="155"/>
        <v>JAMICON</v>
      </c>
      <c r="J832" s="7" t="str">
        <f t="shared" si="156"/>
        <v>1000µF 25v</v>
      </c>
      <c r="K832" s="7"/>
      <c r="L832" s="7" t="str">
        <f t="shared" si="154"/>
        <v>WL</v>
      </c>
      <c r="M832" s="31">
        <f t="shared" si="148"/>
        <v>16</v>
      </c>
      <c r="N832" s="31">
        <f t="shared" si="149"/>
        <v>15</v>
      </c>
      <c r="O832" s="8" t="str">
        <f t="shared" si="150"/>
        <v>Jamicon-WL</v>
      </c>
      <c r="P832" s="12" t="str">
        <f t="shared" si="146"/>
        <v>Jamicon R-16.0x15.0</v>
      </c>
      <c r="Q832" s="12" t="str">
        <f t="shared" si="151"/>
        <v>1000µF</v>
      </c>
      <c r="R832" s="12" t="str">
        <f t="shared" si="152"/>
        <v>25v</v>
      </c>
      <c r="S832" s="8" t="str">
        <f t="shared" si="147"/>
        <v>1000µF 25v - R16.0-15.0 Jamicon (WL)</v>
      </c>
      <c r="T832" s="8">
        <f t="shared" si="153"/>
        <v>1</v>
      </c>
      <c r="U832" s="8" t="b">
        <f>NOT(ISNA(MATCH($P832,Packages!$A:$A,0)))</f>
        <v>1</v>
      </c>
    </row>
    <row r="833" spans="1:21" hidden="1">
      <c r="A833" s="6" t="s">
        <v>47</v>
      </c>
      <c r="B833" s="6" t="s">
        <v>53</v>
      </c>
      <c r="C833" s="33">
        <v>1200</v>
      </c>
      <c r="D833" s="34">
        <v>25</v>
      </c>
      <c r="E833" s="6" t="s">
        <v>95</v>
      </c>
      <c r="F833" s="6" t="s">
        <v>59</v>
      </c>
      <c r="G833" s="6"/>
      <c r="H833" s="7" t="s">
        <v>141</v>
      </c>
      <c r="I833" s="7" t="str">
        <f t="shared" si="155"/>
        <v>JAMICON</v>
      </c>
      <c r="J833" s="7" t="str">
        <f t="shared" si="156"/>
        <v>1200µF 25v</v>
      </c>
      <c r="K833" s="7"/>
      <c r="L833" s="7" t="str">
        <f t="shared" si="154"/>
        <v>WL</v>
      </c>
      <c r="M833" s="31">
        <f t="shared" si="148"/>
        <v>12.5</v>
      </c>
      <c r="N833" s="31">
        <f t="shared" si="149"/>
        <v>20</v>
      </c>
      <c r="O833" s="8" t="str">
        <f t="shared" si="150"/>
        <v>Jamicon-WL</v>
      </c>
      <c r="P833" s="12" t="str">
        <f t="shared" si="146"/>
        <v>Jamicon R-13.0x20.0</v>
      </c>
      <c r="Q833" s="12" t="str">
        <f t="shared" si="151"/>
        <v>1200µF</v>
      </c>
      <c r="R833" s="12" t="str">
        <f t="shared" si="152"/>
        <v>25v</v>
      </c>
      <c r="S833" s="8" t="str">
        <f t="shared" si="147"/>
        <v>1200µF 25v - R12.5-20.0 Jamicon (WL)</v>
      </c>
      <c r="T833" s="8">
        <f t="shared" si="153"/>
        <v>1</v>
      </c>
      <c r="U833" s="8" t="b">
        <f>NOT(ISNA(MATCH($P833,Packages!$A:$A,0)))</f>
        <v>1</v>
      </c>
    </row>
    <row r="834" spans="1:21" hidden="1">
      <c r="A834" s="6" t="s">
        <v>47</v>
      </c>
      <c r="B834" s="6" t="s">
        <v>53</v>
      </c>
      <c r="C834" s="33">
        <v>1200</v>
      </c>
      <c r="D834" s="34">
        <v>25</v>
      </c>
      <c r="E834" s="6" t="s">
        <v>126</v>
      </c>
      <c r="F834" s="6" t="s">
        <v>59</v>
      </c>
      <c r="G834" s="6"/>
      <c r="H834" s="7" t="s">
        <v>141</v>
      </c>
      <c r="I834" s="7" t="str">
        <f t="shared" si="155"/>
        <v>JAMICON</v>
      </c>
      <c r="J834" s="7" t="str">
        <f t="shared" si="156"/>
        <v>1200µF 25v</v>
      </c>
      <c r="K834" s="7"/>
      <c r="L834" s="7" t="str">
        <f t="shared" si="154"/>
        <v>WL</v>
      </c>
      <c r="M834" s="31">
        <f t="shared" si="148"/>
        <v>16</v>
      </c>
      <c r="N834" s="31">
        <f t="shared" si="149"/>
        <v>15</v>
      </c>
      <c r="O834" s="8" t="str">
        <f t="shared" si="150"/>
        <v>Jamicon-WL</v>
      </c>
      <c r="P834" s="12" t="str">
        <f t="shared" ref="P834:P897" si="157">$A834&amp;" "&amp;LEFT($F834,1)&amp;"-"&amp;TEXT(ROUND($M834,0),"00.0")&amp;"x"&amp;TEXT(ROUND($N834,0),"00.0")</f>
        <v>Jamicon R-16.0x15.0</v>
      </c>
      <c r="Q834" s="12" t="str">
        <f t="shared" si="151"/>
        <v>1200µF</v>
      </c>
      <c r="R834" s="12" t="str">
        <f t="shared" si="152"/>
        <v>25v</v>
      </c>
      <c r="S834" s="8" t="str">
        <f t="shared" ref="S834:S897" si="158">$Q834&amp;" "&amp;$R834&amp;" - "&amp;LEFT($F834,1)&amp;TEXT($M834,"00.0")&amp;"-"&amp;TEXT($N834,"00.0")&amp;" "&amp;A834&amp;" ("&amp;B834&amp;")"&amp;IF(ISBLANK($G834),""," "&amp;$G834)</f>
        <v>1200µF 25v - R16.0-15.0 Jamicon (WL)</v>
      </c>
      <c r="T834" s="8">
        <f t="shared" si="153"/>
        <v>1</v>
      </c>
      <c r="U834" s="8" t="b">
        <f>NOT(ISNA(MATCH($P834,Packages!$A:$A,0)))</f>
        <v>1</v>
      </c>
    </row>
    <row r="835" spans="1:21" hidden="1">
      <c r="A835" s="6" t="s">
        <v>47</v>
      </c>
      <c r="B835" s="6" t="s">
        <v>53</v>
      </c>
      <c r="C835" s="33">
        <v>1500</v>
      </c>
      <c r="D835" s="34">
        <v>25</v>
      </c>
      <c r="E835" s="6" t="s">
        <v>96</v>
      </c>
      <c r="F835" s="6" t="s">
        <v>59</v>
      </c>
      <c r="G835" s="6"/>
      <c r="H835" s="7" t="s">
        <v>141</v>
      </c>
      <c r="I835" s="7" t="str">
        <f t="shared" si="155"/>
        <v>JAMICON</v>
      </c>
      <c r="J835" s="7" t="str">
        <f t="shared" si="156"/>
        <v>1500µF 25v</v>
      </c>
      <c r="K835" s="7"/>
      <c r="L835" s="7" t="str">
        <f t="shared" si="154"/>
        <v>WL</v>
      </c>
      <c r="M835" s="31">
        <f t="shared" ref="M835:M898" si="159">VALUE(LEFT($E835,SEARCH("x",$E835)-1))</f>
        <v>12.5</v>
      </c>
      <c r="N835" s="31">
        <f t="shared" ref="N835:N898" si="160">VALUE(RIGHT($E835,LEN($E835)-SEARCH("x",$E835)))</f>
        <v>25</v>
      </c>
      <c r="O835" s="8" t="str">
        <f t="shared" ref="O835:O898" si="161">$A835&amp;"-"&amp;$B835</f>
        <v>Jamicon-WL</v>
      </c>
      <c r="P835" s="12" t="str">
        <f t="shared" si="157"/>
        <v>Jamicon R-13.0x25.0</v>
      </c>
      <c r="Q835" s="12" t="str">
        <f t="shared" ref="Q835:Q898" si="162">TEXT($C835,"General"&amp;CHAR(34)&amp;"µF"&amp;CHAR(34))</f>
        <v>1500µF</v>
      </c>
      <c r="R835" s="12" t="str">
        <f t="shared" ref="R835:R898" si="163">TEXT($D835,"General"&amp;CHAR(34)&amp;"v"&amp;CHAR(34))</f>
        <v>25v</v>
      </c>
      <c r="S835" s="8" t="str">
        <f t="shared" si="158"/>
        <v>1500µF 25v - R12.5-25.0 Jamicon (WL)</v>
      </c>
      <c r="T835" s="8">
        <f t="shared" ref="T835:T898" si="164">COUNTIF($S:$S,$S835)</f>
        <v>1</v>
      </c>
      <c r="U835" s="8" t="b">
        <f>NOT(ISNA(MATCH($P835,Packages!$A:$A,0)))</f>
        <v>1</v>
      </c>
    </row>
    <row r="836" spans="1:21" hidden="1">
      <c r="A836" s="6" t="s">
        <v>47</v>
      </c>
      <c r="B836" s="6" t="s">
        <v>53</v>
      </c>
      <c r="C836" s="33">
        <v>1500</v>
      </c>
      <c r="D836" s="34">
        <v>25</v>
      </c>
      <c r="E836" s="6" t="s">
        <v>127</v>
      </c>
      <c r="F836" s="6" t="s">
        <v>59</v>
      </c>
      <c r="G836" s="6"/>
      <c r="H836" s="7" t="s">
        <v>141</v>
      </c>
      <c r="I836" s="7" t="str">
        <f t="shared" si="155"/>
        <v>JAMICON</v>
      </c>
      <c r="J836" s="7" t="str">
        <f t="shared" si="156"/>
        <v>1500µF 25v</v>
      </c>
      <c r="K836" s="7"/>
      <c r="L836" s="7" t="str">
        <f t="shared" si="154"/>
        <v>WL</v>
      </c>
      <c r="M836" s="31">
        <f t="shared" si="159"/>
        <v>18</v>
      </c>
      <c r="N836" s="31">
        <f t="shared" si="160"/>
        <v>15</v>
      </c>
      <c r="O836" s="8" t="str">
        <f t="shared" si="161"/>
        <v>Jamicon-WL</v>
      </c>
      <c r="P836" s="12" t="str">
        <f t="shared" si="157"/>
        <v>Jamicon R-18.0x15.0</v>
      </c>
      <c r="Q836" s="12" t="str">
        <f t="shared" si="162"/>
        <v>1500µF</v>
      </c>
      <c r="R836" s="12" t="str">
        <f t="shared" si="163"/>
        <v>25v</v>
      </c>
      <c r="S836" s="8" t="str">
        <f t="shared" si="158"/>
        <v>1500µF 25v - R18.0-15.0 Jamicon (WL)</v>
      </c>
      <c r="T836" s="8">
        <f t="shared" si="164"/>
        <v>1</v>
      </c>
      <c r="U836" s="8" t="b">
        <f>NOT(ISNA(MATCH($P836,Packages!$A:$A,0)))</f>
        <v>1</v>
      </c>
    </row>
    <row r="837" spans="1:21" hidden="1">
      <c r="A837" s="6" t="s">
        <v>47</v>
      </c>
      <c r="B837" s="6" t="s">
        <v>53</v>
      </c>
      <c r="C837" s="33">
        <v>1800</v>
      </c>
      <c r="D837" s="34">
        <v>25</v>
      </c>
      <c r="E837" s="6" t="s">
        <v>128</v>
      </c>
      <c r="F837" s="6" t="s">
        <v>59</v>
      </c>
      <c r="G837" s="6"/>
      <c r="H837" s="7" t="s">
        <v>141</v>
      </c>
      <c r="I837" s="7" t="str">
        <f t="shared" si="155"/>
        <v>JAMICON</v>
      </c>
      <c r="J837" s="7" t="str">
        <f t="shared" si="156"/>
        <v>1800µF 25v</v>
      </c>
      <c r="K837" s="7"/>
      <c r="L837" s="7" t="str">
        <f t="shared" si="154"/>
        <v>WL</v>
      </c>
      <c r="M837" s="31">
        <f t="shared" si="159"/>
        <v>12.5</v>
      </c>
      <c r="N837" s="31">
        <f t="shared" si="160"/>
        <v>30</v>
      </c>
      <c r="O837" s="8" t="str">
        <f t="shared" si="161"/>
        <v>Jamicon-WL</v>
      </c>
      <c r="P837" s="12" t="str">
        <f t="shared" si="157"/>
        <v>Jamicon R-13.0x30.0</v>
      </c>
      <c r="Q837" s="12" t="str">
        <f t="shared" si="162"/>
        <v>1800µF</v>
      </c>
      <c r="R837" s="12" t="str">
        <f t="shared" si="163"/>
        <v>25v</v>
      </c>
      <c r="S837" s="8" t="str">
        <f t="shared" si="158"/>
        <v>1800µF 25v - R12.5-30.0 Jamicon (WL)</v>
      </c>
      <c r="T837" s="8">
        <f t="shared" si="164"/>
        <v>1</v>
      </c>
      <c r="U837" s="8" t="b">
        <f>NOT(ISNA(MATCH($P837,Packages!$A:$A,0)))</f>
        <v>1</v>
      </c>
    </row>
    <row r="838" spans="1:21" hidden="1">
      <c r="A838" s="6" t="s">
        <v>47</v>
      </c>
      <c r="B838" s="6" t="s">
        <v>53</v>
      </c>
      <c r="C838" s="33">
        <v>1800</v>
      </c>
      <c r="D838" s="34">
        <v>25</v>
      </c>
      <c r="E838" s="6" t="s">
        <v>129</v>
      </c>
      <c r="F838" s="6" t="s">
        <v>59</v>
      </c>
      <c r="G838" s="6"/>
      <c r="H838" s="7" t="s">
        <v>141</v>
      </c>
      <c r="I838" s="7" t="str">
        <f t="shared" si="155"/>
        <v>JAMICON</v>
      </c>
      <c r="J838" s="7" t="str">
        <f t="shared" si="156"/>
        <v>1800µF 25v</v>
      </c>
      <c r="K838" s="7"/>
      <c r="L838" s="7" t="str">
        <f t="shared" si="154"/>
        <v>WL</v>
      </c>
      <c r="M838" s="31">
        <f t="shared" si="159"/>
        <v>16</v>
      </c>
      <c r="N838" s="31">
        <f t="shared" si="160"/>
        <v>20</v>
      </c>
      <c r="O838" s="8" t="str">
        <f t="shared" si="161"/>
        <v>Jamicon-WL</v>
      </c>
      <c r="P838" s="12" t="str">
        <f t="shared" si="157"/>
        <v>Jamicon R-16.0x20.0</v>
      </c>
      <c r="Q838" s="12" t="str">
        <f t="shared" si="162"/>
        <v>1800µF</v>
      </c>
      <c r="R838" s="12" t="str">
        <f t="shared" si="163"/>
        <v>25v</v>
      </c>
      <c r="S838" s="8" t="str">
        <f t="shared" si="158"/>
        <v>1800µF 25v - R16.0-20.0 Jamicon (WL)</v>
      </c>
      <c r="T838" s="8">
        <f t="shared" si="164"/>
        <v>1</v>
      </c>
      <c r="U838" s="8" t="b">
        <f>NOT(ISNA(MATCH($P838,Packages!$A:$A,0)))</f>
        <v>1</v>
      </c>
    </row>
    <row r="839" spans="1:21" hidden="1">
      <c r="A839" s="6" t="s">
        <v>47</v>
      </c>
      <c r="B839" s="6" t="s">
        <v>53</v>
      </c>
      <c r="C839" s="33">
        <v>2200</v>
      </c>
      <c r="D839" s="34">
        <v>25</v>
      </c>
      <c r="E839" s="6" t="s">
        <v>130</v>
      </c>
      <c r="F839" s="6" t="s">
        <v>59</v>
      </c>
      <c r="G839" s="6"/>
      <c r="H839" s="7" t="s">
        <v>141</v>
      </c>
      <c r="I839" s="7" t="str">
        <f t="shared" si="155"/>
        <v>JAMICON</v>
      </c>
      <c r="J839" s="7" t="str">
        <f t="shared" si="156"/>
        <v>2200µF 25v</v>
      </c>
      <c r="K839" s="7"/>
      <c r="L839" s="7" t="str">
        <f t="shared" si="154"/>
        <v>WL</v>
      </c>
      <c r="M839" s="31">
        <f t="shared" si="159"/>
        <v>12.5</v>
      </c>
      <c r="N839" s="31">
        <f t="shared" si="160"/>
        <v>35</v>
      </c>
      <c r="O839" s="8" t="str">
        <f t="shared" si="161"/>
        <v>Jamicon-WL</v>
      </c>
      <c r="P839" s="12" t="str">
        <f t="shared" si="157"/>
        <v>Jamicon R-13.0x35.0</v>
      </c>
      <c r="Q839" s="12" t="str">
        <f t="shared" si="162"/>
        <v>2200µF</v>
      </c>
      <c r="R839" s="12" t="str">
        <f t="shared" si="163"/>
        <v>25v</v>
      </c>
      <c r="S839" s="8" t="str">
        <f t="shared" si="158"/>
        <v>2200µF 25v - R12.5-35.0 Jamicon (WL)</v>
      </c>
      <c r="T839" s="8">
        <f t="shared" si="164"/>
        <v>1</v>
      </c>
      <c r="U839" s="8" t="b">
        <f>NOT(ISNA(MATCH($P839,Packages!$A:$A,0)))</f>
        <v>1</v>
      </c>
    </row>
    <row r="840" spans="1:21" hidden="1">
      <c r="A840" s="6" t="s">
        <v>47</v>
      </c>
      <c r="B840" s="6" t="s">
        <v>53</v>
      </c>
      <c r="C840" s="33">
        <v>2200</v>
      </c>
      <c r="D840" s="34">
        <v>25</v>
      </c>
      <c r="E840" s="6" t="s">
        <v>97</v>
      </c>
      <c r="F840" s="6" t="s">
        <v>59</v>
      </c>
      <c r="G840" s="6"/>
      <c r="H840" s="7" t="s">
        <v>141</v>
      </c>
      <c r="I840" s="7" t="str">
        <f t="shared" si="155"/>
        <v>JAMICON</v>
      </c>
      <c r="J840" s="7" t="str">
        <f t="shared" si="156"/>
        <v>2200µF 25v</v>
      </c>
      <c r="K840" s="7"/>
      <c r="L840" s="7" t="str">
        <f t="shared" si="154"/>
        <v>WL</v>
      </c>
      <c r="M840" s="31">
        <f t="shared" si="159"/>
        <v>16</v>
      </c>
      <c r="N840" s="31">
        <f t="shared" si="160"/>
        <v>25</v>
      </c>
      <c r="O840" s="8" t="str">
        <f t="shared" si="161"/>
        <v>Jamicon-WL</v>
      </c>
      <c r="P840" s="12" t="str">
        <f t="shared" si="157"/>
        <v>Jamicon R-16.0x25.0</v>
      </c>
      <c r="Q840" s="12" t="str">
        <f t="shared" si="162"/>
        <v>2200µF</v>
      </c>
      <c r="R840" s="12" t="str">
        <f t="shared" si="163"/>
        <v>25v</v>
      </c>
      <c r="S840" s="8" t="str">
        <f t="shared" si="158"/>
        <v>2200µF 25v - R16.0-25.0 Jamicon (WL)</v>
      </c>
      <c r="T840" s="8">
        <f t="shared" si="164"/>
        <v>1</v>
      </c>
      <c r="U840" s="8" t="b">
        <f>NOT(ISNA(MATCH($P840,Packages!$A:$A,0)))</f>
        <v>1</v>
      </c>
    </row>
    <row r="841" spans="1:21" hidden="1">
      <c r="A841" s="6" t="s">
        <v>47</v>
      </c>
      <c r="B841" s="6" t="s">
        <v>53</v>
      </c>
      <c r="C841" s="33">
        <v>2700</v>
      </c>
      <c r="D841" s="34">
        <v>25</v>
      </c>
      <c r="E841" s="6" t="s">
        <v>131</v>
      </c>
      <c r="F841" s="6" t="s">
        <v>59</v>
      </c>
      <c r="G841" s="6"/>
      <c r="H841" s="7" t="s">
        <v>141</v>
      </c>
      <c r="I841" s="7" t="str">
        <f t="shared" si="155"/>
        <v>JAMICON</v>
      </c>
      <c r="J841" s="7" t="str">
        <f t="shared" si="156"/>
        <v>2700µF 25v</v>
      </c>
      <c r="K841" s="7"/>
      <c r="L841" s="7" t="str">
        <f t="shared" si="154"/>
        <v>WL</v>
      </c>
      <c r="M841" s="31">
        <f t="shared" si="159"/>
        <v>12.5</v>
      </c>
      <c r="N841" s="31">
        <f t="shared" si="160"/>
        <v>40</v>
      </c>
      <c r="O841" s="8" t="str">
        <f t="shared" si="161"/>
        <v>Jamicon-WL</v>
      </c>
      <c r="P841" s="12" t="str">
        <f t="shared" si="157"/>
        <v>Jamicon R-13.0x40.0</v>
      </c>
      <c r="Q841" s="12" t="str">
        <f t="shared" si="162"/>
        <v>2700µF</v>
      </c>
      <c r="R841" s="12" t="str">
        <f t="shared" si="163"/>
        <v>25v</v>
      </c>
      <c r="S841" s="8" t="str">
        <f t="shared" si="158"/>
        <v>2700µF 25v - R12.5-40.0 Jamicon (WL)</v>
      </c>
      <c r="T841" s="8">
        <f t="shared" si="164"/>
        <v>1</v>
      </c>
      <c r="U841" s="8" t="b">
        <f>NOT(ISNA(MATCH($P841,Packages!$A:$A,0)))</f>
        <v>1</v>
      </c>
    </row>
    <row r="842" spans="1:21" hidden="1">
      <c r="A842" s="6" t="s">
        <v>47</v>
      </c>
      <c r="B842" s="6" t="s">
        <v>53</v>
      </c>
      <c r="C842" s="33">
        <v>2700</v>
      </c>
      <c r="D842" s="34">
        <v>25</v>
      </c>
      <c r="E842" s="6" t="s">
        <v>132</v>
      </c>
      <c r="F842" s="6" t="s">
        <v>59</v>
      </c>
      <c r="G842" s="6"/>
      <c r="H842" s="7" t="s">
        <v>141</v>
      </c>
      <c r="I842" s="7" t="str">
        <f t="shared" si="155"/>
        <v>JAMICON</v>
      </c>
      <c r="J842" s="7" t="str">
        <f t="shared" si="156"/>
        <v>2700µF 25v</v>
      </c>
      <c r="K842" s="7"/>
      <c r="L842" s="7" t="str">
        <f t="shared" si="154"/>
        <v>WL</v>
      </c>
      <c r="M842" s="31">
        <f t="shared" si="159"/>
        <v>18</v>
      </c>
      <c r="N842" s="31">
        <f t="shared" si="160"/>
        <v>20</v>
      </c>
      <c r="O842" s="8" t="str">
        <f t="shared" si="161"/>
        <v>Jamicon-WL</v>
      </c>
      <c r="P842" s="12" t="str">
        <f t="shared" si="157"/>
        <v>Jamicon R-18.0x20.0</v>
      </c>
      <c r="Q842" s="12" t="str">
        <f t="shared" si="162"/>
        <v>2700µF</v>
      </c>
      <c r="R842" s="12" t="str">
        <f t="shared" si="163"/>
        <v>25v</v>
      </c>
      <c r="S842" s="8" t="str">
        <f t="shared" si="158"/>
        <v>2700µF 25v - R18.0-20.0 Jamicon (WL)</v>
      </c>
      <c r="T842" s="8">
        <f t="shared" si="164"/>
        <v>1</v>
      </c>
      <c r="U842" s="8" t="b">
        <f>NOT(ISNA(MATCH($P842,Packages!$A:$A,0)))</f>
        <v>1</v>
      </c>
    </row>
    <row r="843" spans="1:21" hidden="1">
      <c r="A843" s="6" t="s">
        <v>47</v>
      </c>
      <c r="B843" s="6" t="s">
        <v>53</v>
      </c>
      <c r="C843" s="33">
        <v>3300</v>
      </c>
      <c r="D843" s="34">
        <v>25</v>
      </c>
      <c r="E843" s="6" t="s">
        <v>98</v>
      </c>
      <c r="F843" s="6" t="s">
        <v>59</v>
      </c>
      <c r="G843" s="6"/>
      <c r="H843" s="7" t="s">
        <v>141</v>
      </c>
      <c r="I843" s="7" t="str">
        <f t="shared" si="155"/>
        <v>JAMICON</v>
      </c>
      <c r="J843" s="7" t="str">
        <f t="shared" si="156"/>
        <v>3300µF 25v</v>
      </c>
      <c r="K843" s="7"/>
      <c r="L843" s="7" t="str">
        <f t="shared" si="154"/>
        <v>WL</v>
      </c>
      <c r="M843" s="31">
        <f t="shared" si="159"/>
        <v>16</v>
      </c>
      <c r="N843" s="31">
        <f t="shared" si="160"/>
        <v>31.5</v>
      </c>
      <c r="O843" s="8" t="str">
        <f t="shared" si="161"/>
        <v>Jamicon-WL</v>
      </c>
      <c r="P843" s="12" t="str">
        <f t="shared" si="157"/>
        <v>Jamicon R-16.0x32.0</v>
      </c>
      <c r="Q843" s="12" t="str">
        <f t="shared" si="162"/>
        <v>3300µF</v>
      </c>
      <c r="R843" s="12" t="str">
        <f t="shared" si="163"/>
        <v>25v</v>
      </c>
      <c r="S843" s="8" t="str">
        <f t="shared" si="158"/>
        <v>3300µF 25v - R16.0-31.5 Jamicon (WL)</v>
      </c>
      <c r="T843" s="8">
        <f t="shared" si="164"/>
        <v>1</v>
      </c>
      <c r="U843" s="8" t="b">
        <f>NOT(ISNA(MATCH($P843,Packages!$A:$A,0)))</f>
        <v>1</v>
      </c>
    </row>
    <row r="844" spans="1:21" hidden="1">
      <c r="A844" s="6" t="s">
        <v>47</v>
      </c>
      <c r="B844" s="6" t="s">
        <v>53</v>
      </c>
      <c r="C844" s="33">
        <v>3300</v>
      </c>
      <c r="D844" s="34">
        <v>25</v>
      </c>
      <c r="E844" s="6" t="s">
        <v>133</v>
      </c>
      <c r="F844" s="6" t="s">
        <v>59</v>
      </c>
      <c r="G844" s="6"/>
      <c r="H844" s="7" t="s">
        <v>141</v>
      </c>
      <c r="I844" s="7" t="str">
        <f t="shared" si="155"/>
        <v>JAMICON</v>
      </c>
      <c r="J844" s="7" t="str">
        <f t="shared" si="156"/>
        <v>3300µF 25v</v>
      </c>
      <c r="K844" s="7"/>
      <c r="L844" s="7" t="str">
        <f t="shared" si="154"/>
        <v>WL</v>
      </c>
      <c r="M844" s="31">
        <f t="shared" si="159"/>
        <v>18</v>
      </c>
      <c r="N844" s="31">
        <f t="shared" si="160"/>
        <v>25</v>
      </c>
      <c r="O844" s="8" t="str">
        <f t="shared" si="161"/>
        <v>Jamicon-WL</v>
      </c>
      <c r="P844" s="12" t="str">
        <f t="shared" si="157"/>
        <v>Jamicon R-18.0x25.0</v>
      </c>
      <c r="Q844" s="12" t="str">
        <f t="shared" si="162"/>
        <v>3300µF</v>
      </c>
      <c r="R844" s="12" t="str">
        <f t="shared" si="163"/>
        <v>25v</v>
      </c>
      <c r="S844" s="8" t="str">
        <f t="shared" si="158"/>
        <v>3300µF 25v - R18.0-25.0 Jamicon (WL)</v>
      </c>
      <c r="T844" s="8">
        <f t="shared" si="164"/>
        <v>1</v>
      </c>
      <c r="U844" s="8" t="b">
        <f>NOT(ISNA(MATCH($P844,Packages!$A:$A,0)))</f>
        <v>1</v>
      </c>
    </row>
    <row r="845" spans="1:21" hidden="1">
      <c r="A845" s="6" t="s">
        <v>47</v>
      </c>
      <c r="B845" s="6" t="s">
        <v>53</v>
      </c>
      <c r="C845" s="33">
        <v>3900</v>
      </c>
      <c r="D845" s="34">
        <v>25</v>
      </c>
      <c r="E845" s="6" t="s">
        <v>99</v>
      </c>
      <c r="F845" s="6" t="s">
        <v>59</v>
      </c>
      <c r="G845" s="6"/>
      <c r="H845" s="7" t="s">
        <v>141</v>
      </c>
      <c r="I845" s="7" t="str">
        <f t="shared" si="155"/>
        <v>JAMICON</v>
      </c>
      <c r="J845" s="7" t="str">
        <f t="shared" si="156"/>
        <v>3900µF 25v</v>
      </c>
      <c r="K845" s="7"/>
      <c r="L845" s="7" t="str">
        <f t="shared" si="154"/>
        <v>WL</v>
      </c>
      <c r="M845" s="31">
        <f t="shared" si="159"/>
        <v>16</v>
      </c>
      <c r="N845" s="31">
        <f t="shared" si="160"/>
        <v>35.5</v>
      </c>
      <c r="O845" s="8" t="str">
        <f t="shared" si="161"/>
        <v>Jamicon-WL</v>
      </c>
      <c r="P845" s="12" t="str">
        <f t="shared" si="157"/>
        <v>Jamicon R-16.0x36.0</v>
      </c>
      <c r="Q845" s="12" t="str">
        <f t="shared" si="162"/>
        <v>3900µF</v>
      </c>
      <c r="R845" s="12" t="str">
        <f t="shared" si="163"/>
        <v>25v</v>
      </c>
      <c r="S845" s="8" t="str">
        <f t="shared" si="158"/>
        <v>3900µF 25v - R16.0-35.5 Jamicon (WL)</v>
      </c>
      <c r="T845" s="8">
        <f t="shared" si="164"/>
        <v>1</v>
      </c>
      <c r="U845" s="8" t="b">
        <f>NOT(ISNA(MATCH($P845,Packages!$A:$A,0)))</f>
        <v>1</v>
      </c>
    </row>
    <row r="846" spans="1:21" hidden="1">
      <c r="A846" s="6" t="s">
        <v>47</v>
      </c>
      <c r="B846" s="6" t="s">
        <v>53</v>
      </c>
      <c r="C846" s="33">
        <v>3900</v>
      </c>
      <c r="D846" s="34">
        <v>25</v>
      </c>
      <c r="E846" s="6" t="s">
        <v>134</v>
      </c>
      <c r="F846" s="6" t="s">
        <v>59</v>
      </c>
      <c r="G846" s="6"/>
      <c r="H846" s="7" t="s">
        <v>141</v>
      </c>
      <c r="I846" s="7" t="str">
        <f t="shared" si="155"/>
        <v>JAMICON</v>
      </c>
      <c r="J846" s="7" t="str">
        <f t="shared" si="156"/>
        <v>3900µF 25v</v>
      </c>
      <c r="K846" s="7"/>
      <c r="L846" s="7" t="str">
        <f t="shared" si="154"/>
        <v>WL</v>
      </c>
      <c r="M846" s="31">
        <f t="shared" si="159"/>
        <v>18</v>
      </c>
      <c r="N846" s="31">
        <f t="shared" si="160"/>
        <v>31.5</v>
      </c>
      <c r="O846" s="8" t="str">
        <f t="shared" si="161"/>
        <v>Jamicon-WL</v>
      </c>
      <c r="P846" s="12" t="str">
        <f t="shared" si="157"/>
        <v>Jamicon R-18.0x32.0</v>
      </c>
      <c r="Q846" s="12" t="str">
        <f t="shared" si="162"/>
        <v>3900µF</v>
      </c>
      <c r="R846" s="12" t="str">
        <f t="shared" si="163"/>
        <v>25v</v>
      </c>
      <c r="S846" s="8" t="str">
        <f t="shared" si="158"/>
        <v>3900µF 25v - R18.0-31.5 Jamicon (WL)</v>
      </c>
      <c r="T846" s="8">
        <f t="shared" si="164"/>
        <v>1</v>
      </c>
      <c r="U846" s="8" t="b">
        <f>NOT(ISNA(MATCH($P846,Packages!$A:$A,0)))</f>
        <v>1</v>
      </c>
    </row>
    <row r="847" spans="1:21" hidden="1">
      <c r="A847" s="6" t="s">
        <v>47</v>
      </c>
      <c r="B847" s="6" t="s">
        <v>53</v>
      </c>
      <c r="C847" s="33">
        <v>4700</v>
      </c>
      <c r="D847" s="34">
        <v>25</v>
      </c>
      <c r="E847" s="6" t="s">
        <v>100</v>
      </c>
      <c r="F847" s="6" t="s">
        <v>59</v>
      </c>
      <c r="G847" s="6"/>
      <c r="H847" s="7" t="s">
        <v>141</v>
      </c>
      <c r="I847" s="7" t="str">
        <f t="shared" si="155"/>
        <v>JAMICON</v>
      </c>
      <c r="J847" s="7" t="str">
        <f t="shared" si="156"/>
        <v>4700µF 25v</v>
      </c>
      <c r="K847" s="7"/>
      <c r="L847" s="7" t="str">
        <f t="shared" si="154"/>
        <v>WL</v>
      </c>
      <c r="M847" s="31">
        <f t="shared" si="159"/>
        <v>18</v>
      </c>
      <c r="N847" s="31">
        <f t="shared" si="160"/>
        <v>35.5</v>
      </c>
      <c r="O847" s="8" t="str">
        <f t="shared" si="161"/>
        <v>Jamicon-WL</v>
      </c>
      <c r="P847" s="12" t="str">
        <f t="shared" si="157"/>
        <v>Jamicon R-18.0x36.0</v>
      </c>
      <c r="Q847" s="12" t="str">
        <f t="shared" si="162"/>
        <v>4700µF</v>
      </c>
      <c r="R847" s="12" t="str">
        <f t="shared" si="163"/>
        <v>25v</v>
      </c>
      <c r="S847" s="8" t="str">
        <f t="shared" si="158"/>
        <v>4700µF 25v - R18.0-35.5 Jamicon (WL)</v>
      </c>
      <c r="T847" s="8">
        <f t="shared" si="164"/>
        <v>1</v>
      </c>
      <c r="U847" s="8" t="b">
        <f>NOT(ISNA(MATCH($P847,Packages!$A:$A,0)))</f>
        <v>1</v>
      </c>
    </row>
    <row r="848" spans="1:21" hidden="1">
      <c r="A848" s="6" t="s">
        <v>47</v>
      </c>
      <c r="B848" s="6" t="s">
        <v>53</v>
      </c>
      <c r="C848" s="33">
        <v>4.7</v>
      </c>
      <c r="D848" s="34">
        <v>35</v>
      </c>
      <c r="E848" s="6" t="s">
        <v>68</v>
      </c>
      <c r="F848" s="6" t="s">
        <v>59</v>
      </c>
      <c r="G848" s="6"/>
      <c r="H848" s="7" t="s">
        <v>141</v>
      </c>
      <c r="I848" s="7" t="str">
        <f t="shared" si="155"/>
        <v>JAMICON</v>
      </c>
      <c r="J848" s="7" t="str">
        <f t="shared" si="156"/>
        <v>4.7µF 35v</v>
      </c>
      <c r="K848" s="7"/>
      <c r="L848" s="7" t="str">
        <f t="shared" si="154"/>
        <v>WL</v>
      </c>
      <c r="M848" s="31">
        <f t="shared" si="159"/>
        <v>5</v>
      </c>
      <c r="N848" s="31">
        <f t="shared" si="160"/>
        <v>11</v>
      </c>
      <c r="O848" s="8" t="str">
        <f t="shared" si="161"/>
        <v>Jamicon-WL</v>
      </c>
      <c r="P848" s="12" t="str">
        <f t="shared" si="157"/>
        <v>Jamicon R-05.0x11.0</v>
      </c>
      <c r="Q848" s="12" t="str">
        <f t="shared" si="162"/>
        <v>4.7µF</v>
      </c>
      <c r="R848" s="12" t="str">
        <f t="shared" si="163"/>
        <v>35v</v>
      </c>
      <c r="S848" s="8" t="str">
        <f t="shared" si="158"/>
        <v>4.7µF 35v - R05.0-11.0 Jamicon (WL)</v>
      </c>
      <c r="T848" s="8">
        <f t="shared" si="164"/>
        <v>1</v>
      </c>
      <c r="U848" s="8" t="b">
        <f>NOT(ISNA(MATCH($P848,Packages!$A:$A,0)))</f>
        <v>1</v>
      </c>
    </row>
    <row r="849" spans="1:21" hidden="1">
      <c r="A849" s="6" t="s">
        <v>47</v>
      </c>
      <c r="B849" s="6" t="s">
        <v>53</v>
      </c>
      <c r="C849" s="33">
        <v>6.8</v>
      </c>
      <c r="D849" s="34">
        <v>35</v>
      </c>
      <c r="E849" s="6" t="s">
        <v>68</v>
      </c>
      <c r="F849" s="6" t="s">
        <v>59</v>
      </c>
      <c r="G849" s="6"/>
      <c r="H849" s="7" t="s">
        <v>141</v>
      </c>
      <c r="I849" s="7" t="str">
        <f t="shared" si="155"/>
        <v>JAMICON</v>
      </c>
      <c r="J849" s="7" t="str">
        <f t="shared" si="156"/>
        <v>6.8µF 35v</v>
      </c>
      <c r="K849" s="7"/>
      <c r="L849" s="7" t="str">
        <f t="shared" si="154"/>
        <v>WL</v>
      </c>
      <c r="M849" s="31">
        <f t="shared" si="159"/>
        <v>5</v>
      </c>
      <c r="N849" s="31">
        <f t="shared" si="160"/>
        <v>11</v>
      </c>
      <c r="O849" s="8" t="str">
        <f t="shared" si="161"/>
        <v>Jamicon-WL</v>
      </c>
      <c r="P849" s="12" t="str">
        <f t="shared" si="157"/>
        <v>Jamicon R-05.0x11.0</v>
      </c>
      <c r="Q849" s="12" t="str">
        <f t="shared" si="162"/>
        <v>6.8µF</v>
      </c>
      <c r="R849" s="12" t="str">
        <f t="shared" si="163"/>
        <v>35v</v>
      </c>
      <c r="S849" s="8" t="str">
        <f t="shared" si="158"/>
        <v>6.8µF 35v - R05.0-11.0 Jamicon (WL)</v>
      </c>
      <c r="T849" s="8">
        <f t="shared" si="164"/>
        <v>1</v>
      </c>
      <c r="U849" s="8" t="b">
        <f>NOT(ISNA(MATCH($P849,Packages!$A:$A,0)))</f>
        <v>1</v>
      </c>
    </row>
    <row r="850" spans="1:21" hidden="1">
      <c r="A850" s="6" t="s">
        <v>47</v>
      </c>
      <c r="B850" s="6" t="s">
        <v>53</v>
      </c>
      <c r="C850" s="33">
        <v>10</v>
      </c>
      <c r="D850" s="34">
        <v>35</v>
      </c>
      <c r="E850" s="6" t="s">
        <v>68</v>
      </c>
      <c r="F850" s="6" t="s">
        <v>59</v>
      </c>
      <c r="G850" s="6"/>
      <c r="H850" s="7" t="s">
        <v>141</v>
      </c>
      <c r="I850" s="7" t="str">
        <f t="shared" si="155"/>
        <v>JAMICON</v>
      </c>
      <c r="J850" s="7" t="str">
        <f t="shared" si="156"/>
        <v>10µF 35v</v>
      </c>
      <c r="K850" s="7"/>
      <c r="L850" s="7" t="str">
        <f t="shared" si="154"/>
        <v>WL</v>
      </c>
      <c r="M850" s="31">
        <f t="shared" si="159"/>
        <v>5</v>
      </c>
      <c r="N850" s="31">
        <f t="shared" si="160"/>
        <v>11</v>
      </c>
      <c r="O850" s="8" t="str">
        <f t="shared" si="161"/>
        <v>Jamicon-WL</v>
      </c>
      <c r="P850" s="12" t="str">
        <f t="shared" si="157"/>
        <v>Jamicon R-05.0x11.0</v>
      </c>
      <c r="Q850" s="12" t="str">
        <f t="shared" si="162"/>
        <v>10µF</v>
      </c>
      <c r="R850" s="12" t="str">
        <f t="shared" si="163"/>
        <v>35v</v>
      </c>
      <c r="S850" s="8" t="str">
        <f t="shared" si="158"/>
        <v>10µF 35v - R05.0-11.0 Jamicon (WL)</v>
      </c>
      <c r="T850" s="8">
        <f t="shared" si="164"/>
        <v>1</v>
      </c>
      <c r="U850" s="8" t="b">
        <f>NOT(ISNA(MATCH($P850,Packages!$A:$A,0)))</f>
        <v>1</v>
      </c>
    </row>
    <row r="851" spans="1:21" hidden="1">
      <c r="A851" s="6" t="s">
        <v>47</v>
      </c>
      <c r="B851" s="6" t="s">
        <v>53</v>
      </c>
      <c r="C851" s="33">
        <v>15</v>
      </c>
      <c r="D851" s="34">
        <v>35</v>
      </c>
      <c r="E851" s="6" t="s">
        <v>68</v>
      </c>
      <c r="F851" s="6" t="s">
        <v>59</v>
      </c>
      <c r="G851" s="6"/>
      <c r="H851" s="7" t="s">
        <v>141</v>
      </c>
      <c r="I851" s="7" t="str">
        <f t="shared" si="155"/>
        <v>JAMICON</v>
      </c>
      <c r="J851" s="7" t="str">
        <f t="shared" si="156"/>
        <v>15µF 35v</v>
      </c>
      <c r="K851" s="7"/>
      <c r="L851" s="7" t="str">
        <f t="shared" si="154"/>
        <v>WL</v>
      </c>
      <c r="M851" s="31">
        <f t="shared" si="159"/>
        <v>5</v>
      </c>
      <c r="N851" s="31">
        <f t="shared" si="160"/>
        <v>11</v>
      </c>
      <c r="O851" s="8" t="str">
        <f t="shared" si="161"/>
        <v>Jamicon-WL</v>
      </c>
      <c r="P851" s="12" t="str">
        <f t="shared" si="157"/>
        <v>Jamicon R-05.0x11.0</v>
      </c>
      <c r="Q851" s="12" t="str">
        <f t="shared" si="162"/>
        <v>15µF</v>
      </c>
      <c r="R851" s="12" t="str">
        <f t="shared" si="163"/>
        <v>35v</v>
      </c>
      <c r="S851" s="8" t="str">
        <f t="shared" si="158"/>
        <v>15µF 35v - R05.0-11.0 Jamicon (WL)</v>
      </c>
      <c r="T851" s="8">
        <f t="shared" si="164"/>
        <v>1</v>
      </c>
      <c r="U851" s="8" t="b">
        <f>NOT(ISNA(MATCH($P851,Packages!$A:$A,0)))</f>
        <v>1</v>
      </c>
    </row>
    <row r="852" spans="1:21" hidden="1">
      <c r="A852" s="6" t="s">
        <v>47</v>
      </c>
      <c r="B852" s="6" t="s">
        <v>53</v>
      </c>
      <c r="C852" s="33">
        <v>18</v>
      </c>
      <c r="D852" s="34">
        <v>35</v>
      </c>
      <c r="E852" s="6" t="s">
        <v>68</v>
      </c>
      <c r="F852" s="6" t="s">
        <v>59</v>
      </c>
      <c r="G852" s="6"/>
      <c r="H852" s="7" t="s">
        <v>141</v>
      </c>
      <c r="I852" s="7" t="str">
        <f t="shared" si="155"/>
        <v>JAMICON</v>
      </c>
      <c r="J852" s="7" t="str">
        <f t="shared" si="156"/>
        <v>18µF 35v</v>
      </c>
      <c r="K852" s="7"/>
      <c r="L852" s="7" t="str">
        <f t="shared" si="154"/>
        <v>WL</v>
      </c>
      <c r="M852" s="31">
        <f t="shared" si="159"/>
        <v>5</v>
      </c>
      <c r="N852" s="31">
        <f t="shared" si="160"/>
        <v>11</v>
      </c>
      <c r="O852" s="8" t="str">
        <f t="shared" si="161"/>
        <v>Jamicon-WL</v>
      </c>
      <c r="P852" s="12" t="str">
        <f t="shared" si="157"/>
        <v>Jamicon R-05.0x11.0</v>
      </c>
      <c r="Q852" s="12" t="str">
        <f t="shared" si="162"/>
        <v>18µF</v>
      </c>
      <c r="R852" s="12" t="str">
        <f t="shared" si="163"/>
        <v>35v</v>
      </c>
      <c r="S852" s="8" t="str">
        <f t="shared" si="158"/>
        <v>18µF 35v - R05.0-11.0 Jamicon (WL)</v>
      </c>
      <c r="T852" s="8">
        <f t="shared" si="164"/>
        <v>1</v>
      </c>
      <c r="U852" s="8" t="b">
        <f>NOT(ISNA(MATCH($P852,Packages!$A:$A,0)))</f>
        <v>1</v>
      </c>
    </row>
    <row r="853" spans="1:21" hidden="1">
      <c r="A853" s="6" t="s">
        <v>47</v>
      </c>
      <c r="B853" s="6" t="s">
        <v>53</v>
      </c>
      <c r="C853" s="33">
        <v>22</v>
      </c>
      <c r="D853" s="34">
        <v>35</v>
      </c>
      <c r="E853" s="6" t="s">
        <v>68</v>
      </c>
      <c r="F853" s="6" t="s">
        <v>59</v>
      </c>
      <c r="G853" s="6"/>
      <c r="H853" s="7" t="s">
        <v>141</v>
      </c>
      <c r="I853" s="7" t="str">
        <f t="shared" si="155"/>
        <v>JAMICON</v>
      </c>
      <c r="J853" s="7" t="str">
        <f t="shared" si="156"/>
        <v>22µF 35v</v>
      </c>
      <c r="K853" s="7"/>
      <c r="L853" s="7" t="str">
        <f t="shared" si="154"/>
        <v>WL</v>
      </c>
      <c r="M853" s="31">
        <f t="shared" si="159"/>
        <v>5</v>
      </c>
      <c r="N853" s="31">
        <f t="shared" si="160"/>
        <v>11</v>
      </c>
      <c r="O853" s="8" t="str">
        <f t="shared" si="161"/>
        <v>Jamicon-WL</v>
      </c>
      <c r="P853" s="12" t="str">
        <f t="shared" si="157"/>
        <v>Jamicon R-05.0x11.0</v>
      </c>
      <c r="Q853" s="12" t="str">
        <f t="shared" si="162"/>
        <v>22µF</v>
      </c>
      <c r="R853" s="12" t="str">
        <f t="shared" si="163"/>
        <v>35v</v>
      </c>
      <c r="S853" s="8" t="str">
        <f t="shared" si="158"/>
        <v>22µF 35v - R05.0-11.0 Jamicon (WL)</v>
      </c>
      <c r="T853" s="8">
        <f t="shared" si="164"/>
        <v>1</v>
      </c>
      <c r="U853" s="8" t="b">
        <f>NOT(ISNA(MATCH($P853,Packages!$A:$A,0)))</f>
        <v>1</v>
      </c>
    </row>
    <row r="854" spans="1:21" hidden="1">
      <c r="A854" s="6" t="s">
        <v>47</v>
      </c>
      <c r="B854" s="6" t="s">
        <v>53</v>
      </c>
      <c r="C854" s="33">
        <v>27</v>
      </c>
      <c r="D854" s="34">
        <v>35</v>
      </c>
      <c r="E854" s="6" t="s">
        <v>68</v>
      </c>
      <c r="F854" s="6" t="s">
        <v>59</v>
      </c>
      <c r="G854" s="6"/>
      <c r="H854" s="7" t="s">
        <v>141</v>
      </c>
      <c r="I854" s="7" t="str">
        <f t="shared" si="155"/>
        <v>JAMICON</v>
      </c>
      <c r="J854" s="7" t="str">
        <f t="shared" si="156"/>
        <v>27µF 35v</v>
      </c>
      <c r="K854" s="7"/>
      <c r="L854" s="7" t="str">
        <f t="shared" si="154"/>
        <v>WL</v>
      </c>
      <c r="M854" s="31">
        <f t="shared" si="159"/>
        <v>5</v>
      </c>
      <c r="N854" s="31">
        <f t="shared" si="160"/>
        <v>11</v>
      </c>
      <c r="O854" s="8" t="str">
        <f t="shared" si="161"/>
        <v>Jamicon-WL</v>
      </c>
      <c r="P854" s="12" t="str">
        <f t="shared" si="157"/>
        <v>Jamicon R-05.0x11.0</v>
      </c>
      <c r="Q854" s="12" t="str">
        <f t="shared" si="162"/>
        <v>27µF</v>
      </c>
      <c r="R854" s="12" t="str">
        <f t="shared" si="163"/>
        <v>35v</v>
      </c>
      <c r="S854" s="8" t="str">
        <f t="shared" si="158"/>
        <v>27µF 35v - R05.0-11.0 Jamicon (WL)</v>
      </c>
      <c r="T854" s="8">
        <f t="shared" si="164"/>
        <v>1</v>
      </c>
      <c r="U854" s="8" t="b">
        <f>NOT(ISNA(MATCH($P854,Packages!$A:$A,0)))</f>
        <v>1</v>
      </c>
    </row>
    <row r="855" spans="1:21" hidden="1">
      <c r="A855" s="6" t="s">
        <v>47</v>
      </c>
      <c r="B855" s="6" t="s">
        <v>53</v>
      </c>
      <c r="C855" s="33">
        <v>33</v>
      </c>
      <c r="D855" s="34">
        <v>35</v>
      </c>
      <c r="E855" s="6" t="s">
        <v>68</v>
      </c>
      <c r="F855" s="6" t="s">
        <v>59</v>
      </c>
      <c r="G855" s="6"/>
      <c r="H855" s="7" t="s">
        <v>141</v>
      </c>
      <c r="I855" s="7" t="str">
        <f t="shared" si="155"/>
        <v>JAMICON</v>
      </c>
      <c r="J855" s="7" t="str">
        <f t="shared" si="156"/>
        <v>33µF 35v</v>
      </c>
      <c r="K855" s="7"/>
      <c r="L855" s="7" t="str">
        <f t="shared" si="154"/>
        <v>WL</v>
      </c>
      <c r="M855" s="31">
        <f t="shared" si="159"/>
        <v>5</v>
      </c>
      <c r="N855" s="31">
        <f t="shared" si="160"/>
        <v>11</v>
      </c>
      <c r="O855" s="8" t="str">
        <f t="shared" si="161"/>
        <v>Jamicon-WL</v>
      </c>
      <c r="P855" s="12" t="str">
        <f t="shared" si="157"/>
        <v>Jamicon R-05.0x11.0</v>
      </c>
      <c r="Q855" s="12" t="str">
        <f t="shared" si="162"/>
        <v>33µF</v>
      </c>
      <c r="R855" s="12" t="str">
        <f t="shared" si="163"/>
        <v>35v</v>
      </c>
      <c r="S855" s="8" t="str">
        <f t="shared" si="158"/>
        <v>33µF 35v - R05.0-11.0 Jamicon (WL)</v>
      </c>
      <c r="T855" s="8">
        <f t="shared" si="164"/>
        <v>1</v>
      </c>
      <c r="U855" s="8" t="b">
        <f>NOT(ISNA(MATCH($P855,Packages!$A:$A,0)))</f>
        <v>1</v>
      </c>
    </row>
    <row r="856" spans="1:21" hidden="1">
      <c r="A856" s="6" t="s">
        <v>47</v>
      </c>
      <c r="B856" s="6" t="s">
        <v>53</v>
      </c>
      <c r="C856" s="33">
        <v>39</v>
      </c>
      <c r="D856" s="34">
        <v>35</v>
      </c>
      <c r="E856" s="6" t="s">
        <v>68</v>
      </c>
      <c r="F856" s="6" t="s">
        <v>59</v>
      </c>
      <c r="G856" s="6"/>
      <c r="H856" s="7" t="s">
        <v>141</v>
      </c>
      <c r="I856" s="7" t="str">
        <f t="shared" si="155"/>
        <v>JAMICON</v>
      </c>
      <c r="J856" s="7" t="str">
        <f t="shared" si="156"/>
        <v>39µF 35v</v>
      </c>
      <c r="K856" s="7"/>
      <c r="L856" s="7" t="str">
        <f t="shared" si="154"/>
        <v>WL</v>
      </c>
      <c r="M856" s="31">
        <f t="shared" si="159"/>
        <v>5</v>
      </c>
      <c r="N856" s="31">
        <f t="shared" si="160"/>
        <v>11</v>
      </c>
      <c r="O856" s="8" t="str">
        <f t="shared" si="161"/>
        <v>Jamicon-WL</v>
      </c>
      <c r="P856" s="12" t="str">
        <f t="shared" si="157"/>
        <v>Jamicon R-05.0x11.0</v>
      </c>
      <c r="Q856" s="12" t="str">
        <f t="shared" si="162"/>
        <v>39µF</v>
      </c>
      <c r="R856" s="12" t="str">
        <f t="shared" si="163"/>
        <v>35v</v>
      </c>
      <c r="S856" s="8" t="str">
        <f t="shared" si="158"/>
        <v>39µF 35v - R05.0-11.0 Jamicon (WL)</v>
      </c>
      <c r="T856" s="8">
        <f t="shared" si="164"/>
        <v>1</v>
      </c>
      <c r="U856" s="8" t="b">
        <f>NOT(ISNA(MATCH($P856,Packages!$A:$A,0)))</f>
        <v>1</v>
      </c>
    </row>
    <row r="857" spans="1:21" hidden="1">
      <c r="A857" s="6" t="s">
        <v>47</v>
      </c>
      <c r="B857" s="6" t="s">
        <v>53</v>
      </c>
      <c r="C857" s="33">
        <v>47</v>
      </c>
      <c r="D857" s="34">
        <v>35</v>
      </c>
      <c r="E857" s="6" t="s">
        <v>68</v>
      </c>
      <c r="F857" s="6" t="s">
        <v>59</v>
      </c>
      <c r="G857" s="6"/>
      <c r="H857" s="7" t="s">
        <v>141</v>
      </c>
      <c r="I857" s="7" t="str">
        <f t="shared" si="155"/>
        <v>JAMICON</v>
      </c>
      <c r="J857" s="7" t="str">
        <f t="shared" si="156"/>
        <v>47µF 35v</v>
      </c>
      <c r="K857" s="7"/>
      <c r="L857" s="7" t="str">
        <f t="shared" si="154"/>
        <v>WL</v>
      </c>
      <c r="M857" s="31">
        <f t="shared" si="159"/>
        <v>5</v>
      </c>
      <c r="N857" s="31">
        <f t="shared" si="160"/>
        <v>11</v>
      </c>
      <c r="O857" s="8" t="str">
        <f t="shared" si="161"/>
        <v>Jamicon-WL</v>
      </c>
      <c r="P857" s="12" t="str">
        <f t="shared" si="157"/>
        <v>Jamicon R-05.0x11.0</v>
      </c>
      <c r="Q857" s="12" t="str">
        <f t="shared" si="162"/>
        <v>47µF</v>
      </c>
      <c r="R857" s="12" t="str">
        <f t="shared" si="163"/>
        <v>35v</v>
      </c>
      <c r="S857" s="8" t="str">
        <f t="shared" si="158"/>
        <v>47µF 35v - R05.0-11.0 Jamicon (WL)</v>
      </c>
      <c r="T857" s="8">
        <f t="shared" si="164"/>
        <v>1</v>
      </c>
      <c r="U857" s="8" t="b">
        <f>NOT(ISNA(MATCH($P857,Packages!$A:$A,0)))</f>
        <v>1</v>
      </c>
    </row>
    <row r="858" spans="1:21" hidden="1">
      <c r="A858" s="6" t="s">
        <v>47</v>
      </c>
      <c r="B858" s="6" t="s">
        <v>53</v>
      </c>
      <c r="C858" s="33">
        <v>56</v>
      </c>
      <c r="D858" s="34">
        <v>35</v>
      </c>
      <c r="E858" s="6" t="s">
        <v>118</v>
      </c>
      <c r="F858" s="6" t="s">
        <v>59</v>
      </c>
      <c r="G858" s="6"/>
      <c r="H858" s="7" t="s">
        <v>141</v>
      </c>
      <c r="I858" s="7" t="str">
        <f t="shared" si="155"/>
        <v>JAMICON</v>
      </c>
      <c r="J858" s="7" t="str">
        <f t="shared" si="156"/>
        <v>56µF 35v</v>
      </c>
      <c r="K858" s="7"/>
      <c r="L858" s="7" t="str">
        <f t="shared" si="154"/>
        <v>WL</v>
      </c>
      <c r="M858" s="31">
        <f t="shared" si="159"/>
        <v>5</v>
      </c>
      <c r="N858" s="31">
        <f t="shared" si="160"/>
        <v>15</v>
      </c>
      <c r="O858" s="8" t="str">
        <f t="shared" si="161"/>
        <v>Jamicon-WL</v>
      </c>
      <c r="P858" s="12" t="str">
        <f t="shared" si="157"/>
        <v>Jamicon R-05.0x15.0</v>
      </c>
      <c r="Q858" s="12" t="str">
        <f t="shared" si="162"/>
        <v>56µF</v>
      </c>
      <c r="R858" s="12" t="str">
        <f t="shared" si="163"/>
        <v>35v</v>
      </c>
      <c r="S858" s="8" t="str">
        <f t="shared" si="158"/>
        <v>56µF 35v - R05.0-15.0 Jamicon (WL)</v>
      </c>
      <c r="T858" s="8">
        <f t="shared" si="164"/>
        <v>1</v>
      </c>
      <c r="U858" s="8" t="b">
        <f>NOT(ISNA(MATCH($P858,Packages!$A:$A,0)))</f>
        <v>1</v>
      </c>
    </row>
    <row r="859" spans="1:21" hidden="1">
      <c r="A859" s="6" t="s">
        <v>47</v>
      </c>
      <c r="B859" s="6" t="s">
        <v>53</v>
      </c>
      <c r="C859" s="33">
        <v>56</v>
      </c>
      <c r="D859" s="34">
        <v>35</v>
      </c>
      <c r="E859" s="6" t="s">
        <v>69</v>
      </c>
      <c r="F859" s="6" t="s">
        <v>59</v>
      </c>
      <c r="G859" s="6"/>
      <c r="H859" s="7" t="s">
        <v>141</v>
      </c>
      <c r="I859" s="7" t="str">
        <f t="shared" si="155"/>
        <v>JAMICON</v>
      </c>
      <c r="J859" s="7" t="str">
        <f t="shared" si="156"/>
        <v>56µF 35v</v>
      </c>
      <c r="K859" s="7"/>
      <c r="L859" s="7" t="str">
        <f t="shared" si="154"/>
        <v>WL</v>
      </c>
      <c r="M859" s="31">
        <f t="shared" si="159"/>
        <v>6.3</v>
      </c>
      <c r="N859" s="31">
        <f t="shared" si="160"/>
        <v>11</v>
      </c>
      <c r="O859" s="8" t="str">
        <f t="shared" si="161"/>
        <v>Jamicon-WL</v>
      </c>
      <c r="P859" s="12" t="str">
        <f t="shared" si="157"/>
        <v>Jamicon R-06.0x11.0</v>
      </c>
      <c r="Q859" s="12" t="str">
        <f t="shared" si="162"/>
        <v>56µF</v>
      </c>
      <c r="R859" s="12" t="str">
        <f t="shared" si="163"/>
        <v>35v</v>
      </c>
      <c r="S859" s="8" t="str">
        <f t="shared" si="158"/>
        <v>56µF 35v - R06.3-11.0 Jamicon (WL)</v>
      </c>
      <c r="T859" s="8">
        <f t="shared" si="164"/>
        <v>1</v>
      </c>
      <c r="U859" s="8" t="b">
        <f>NOT(ISNA(MATCH($P859,Packages!$A:$A,0)))</f>
        <v>1</v>
      </c>
    </row>
    <row r="860" spans="1:21" hidden="1">
      <c r="A860" s="6" t="s">
        <v>47</v>
      </c>
      <c r="B860" s="6" t="s">
        <v>53</v>
      </c>
      <c r="C860" s="33">
        <v>68</v>
      </c>
      <c r="D860" s="34">
        <v>35</v>
      </c>
      <c r="E860" s="6" t="s">
        <v>118</v>
      </c>
      <c r="F860" s="6" t="s">
        <v>59</v>
      </c>
      <c r="G860" s="6"/>
      <c r="H860" s="7" t="s">
        <v>141</v>
      </c>
      <c r="I860" s="7" t="str">
        <f t="shared" si="155"/>
        <v>JAMICON</v>
      </c>
      <c r="J860" s="7" t="str">
        <f t="shared" si="156"/>
        <v>68µF 35v</v>
      </c>
      <c r="K860" s="7"/>
      <c r="L860" s="7" t="str">
        <f t="shared" ref="L860:L923" si="165">B860</f>
        <v>WL</v>
      </c>
      <c r="M860" s="31">
        <f t="shared" si="159"/>
        <v>5</v>
      </c>
      <c r="N860" s="31">
        <f t="shared" si="160"/>
        <v>15</v>
      </c>
      <c r="O860" s="8" t="str">
        <f t="shared" si="161"/>
        <v>Jamicon-WL</v>
      </c>
      <c r="P860" s="12" t="str">
        <f t="shared" si="157"/>
        <v>Jamicon R-05.0x15.0</v>
      </c>
      <c r="Q860" s="12" t="str">
        <f t="shared" si="162"/>
        <v>68µF</v>
      </c>
      <c r="R860" s="12" t="str">
        <f t="shared" si="163"/>
        <v>35v</v>
      </c>
      <c r="S860" s="8" t="str">
        <f t="shared" si="158"/>
        <v>68µF 35v - R05.0-15.0 Jamicon (WL)</v>
      </c>
      <c r="T860" s="8">
        <f t="shared" si="164"/>
        <v>1</v>
      </c>
      <c r="U860" s="8" t="b">
        <f>NOT(ISNA(MATCH($P860,Packages!$A:$A,0)))</f>
        <v>1</v>
      </c>
    </row>
    <row r="861" spans="1:21" hidden="1">
      <c r="A861" s="6" t="s">
        <v>47</v>
      </c>
      <c r="B861" s="6" t="s">
        <v>53</v>
      </c>
      <c r="C861" s="33">
        <v>68</v>
      </c>
      <c r="D861" s="34">
        <v>35</v>
      </c>
      <c r="E861" s="6" t="s">
        <v>69</v>
      </c>
      <c r="F861" s="6" t="s">
        <v>59</v>
      </c>
      <c r="G861" s="6"/>
      <c r="H861" s="7" t="s">
        <v>141</v>
      </c>
      <c r="I861" s="7" t="str">
        <f t="shared" ref="I861:I924" si="166">UPPER($A861)</f>
        <v>JAMICON</v>
      </c>
      <c r="J861" s="7" t="str">
        <f t="shared" ref="J861:J924" si="167">$Q861&amp;" "&amp;$R861</f>
        <v>68µF 35v</v>
      </c>
      <c r="K861" s="7"/>
      <c r="L861" s="7" t="str">
        <f t="shared" si="165"/>
        <v>WL</v>
      </c>
      <c r="M861" s="31">
        <f t="shared" si="159"/>
        <v>6.3</v>
      </c>
      <c r="N861" s="31">
        <f t="shared" si="160"/>
        <v>11</v>
      </c>
      <c r="O861" s="8" t="str">
        <f t="shared" si="161"/>
        <v>Jamicon-WL</v>
      </c>
      <c r="P861" s="12" t="str">
        <f t="shared" si="157"/>
        <v>Jamicon R-06.0x11.0</v>
      </c>
      <c r="Q861" s="12" t="str">
        <f t="shared" si="162"/>
        <v>68µF</v>
      </c>
      <c r="R861" s="12" t="str">
        <f t="shared" si="163"/>
        <v>35v</v>
      </c>
      <c r="S861" s="8" t="str">
        <f t="shared" si="158"/>
        <v>68µF 35v - R06.3-11.0 Jamicon (WL)</v>
      </c>
      <c r="T861" s="8">
        <f t="shared" si="164"/>
        <v>1</v>
      </c>
      <c r="U861" s="8" t="b">
        <f>NOT(ISNA(MATCH($P861,Packages!$A:$A,0)))</f>
        <v>1</v>
      </c>
    </row>
    <row r="862" spans="1:21" hidden="1">
      <c r="A862" s="6" t="s">
        <v>47</v>
      </c>
      <c r="B862" s="6" t="s">
        <v>53</v>
      </c>
      <c r="C862" s="33">
        <v>82</v>
      </c>
      <c r="D862" s="34">
        <v>35</v>
      </c>
      <c r="E862" s="6" t="s">
        <v>118</v>
      </c>
      <c r="F862" s="6" t="s">
        <v>59</v>
      </c>
      <c r="G862" s="6"/>
      <c r="H862" s="7" t="s">
        <v>141</v>
      </c>
      <c r="I862" s="7" t="str">
        <f t="shared" si="166"/>
        <v>JAMICON</v>
      </c>
      <c r="J862" s="7" t="str">
        <f t="shared" si="167"/>
        <v>82µF 35v</v>
      </c>
      <c r="K862" s="7"/>
      <c r="L862" s="7" t="str">
        <f t="shared" si="165"/>
        <v>WL</v>
      </c>
      <c r="M862" s="31">
        <f t="shared" si="159"/>
        <v>5</v>
      </c>
      <c r="N862" s="31">
        <f t="shared" si="160"/>
        <v>15</v>
      </c>
      <c r="O862" s="8" t="str">
        <f t="shared" si="161"/>
        <v>Jamicon-WL</v>
      </c>
      <c r="P862" s="12" t="str">
        <f t="shared" si="157"/>
        <v>Jamicon R-05.0x15.0</v>
      </c>
      <c r="Q862" s="12" t="str">
        <f t="shared" si="162"/>
        <v>82µF</v>
      </c>
      <c r="R862" s="12" t="str">
        <f t="shared" si="163"/>
        <v>35v</v>
      </c>
      <c r="S862" s="8" t="str">
        <f t="shared" si="158"/>
        <v>82µF 35v - R05.0-15.0 Jamicon (WL)</v>
      </c>
      <c r="T862" s="8">
        <f t="shared" si="164"/>
        <v>1</v>
      </c>
      <c r="U862" s="8" t="b">
        <f>NOT(ISNA(MATCH($P862,Packages!$A:$A,0)))</f>
        <v>1</v>
      </c>
    </row>
    <row r="863" spans="1:21" hidden="1">
      <c r="A863" s="6" t="s">
        <v>47</v>
      </c>
      <c r="B863" s="6" t="s">
        <v>53</v>
      </c>
      <c r="C863" s="33">
        <v>82</v>
      </c>
      <c r="D863" s="34">
        <v>35</v>
      </c>
      <c r="E863" s="6" t="s">
        <v>69</v>
      </c>
      <c r="F863" s="6" t="s">
        <v>59</v>
      </c>
      <c r="G863" s="6"/>
      <c r="H863" s="7" t="s">
        <v>141</v>
      </c>
      <c r="I863" s="7" t="str">
        <f t="shared" si="166"/>
        <v>JAMICON</v>
      </c>
      <c r="J863" s="7" t="str">
        <f t="shared" si="167"/>
        <v>82µF 35v</v>
      </c>
      <c r="K863" s="7"/>
      <c r="L863" s="7" t="str">
        <f t="shared" si="165"/>
        <v>WL</v>
      </c>
      <c r="M863" s="31">
        <f t="shared" si="159"/>
        <v>6.3</v>
      </c>
      <c r="N863" s="31">
        <f t="shared" si="160"/>
        <v>11</v>
      </c>
      <c r="O863" s="8" t="str">
        <f t="shared" si="161"/>
        <v>Jamicon-WL</v>
      </c>
      <c r="P863" s="12" t="str">
        <f t="shared" si="157"/>
        <v>Jamicon R-06.0x11.0</v>
      </c>
      <c r="Q863" s="12" t="str">
        <f t="shared" si="162"/>
        <v>82µF</v>
      </c>
      <c r="R863" s="12" t="str">
        <f t="shared" si="163"/>
        <v>35v</v>
      </c>
      <c r="S863" s="8" t="str">
        <f t="shared" si="158"/>
        <v>82µF 35v - R06.3-11.0 Jamicon (WL)</v>
      </c>
      <c r="T863" s="8">
        <f t="shared" si="164"/>
        <v>1</v>
      </c>
      <c r="U863" s="8" t="b">
        <f>NOT(ISNA(MATCH($P863,Packages!$A:$A,0)))</f>
        <v>1</v>
      </c>
    </row>
    <row r="864" spans="1:21" hidden="1">
      <c r="A864" s="6" t="s">
        <v>47</v>
      </c>
      <c r="B864" s="6" t="s">
        <v>53</v>
      </c>
      <c r="C864" s="33">
        <v>100</v>
      </c>
      <c r="D864" s="34">
        <v>35</v>
      </c>
      <c r="E864" s="6" t="s">
        <v>119</v>
      </c>
      <c r="F864" s="6" t="s">
        <v>59</v>
      </c>
      <c r="G864" s="6"/>
      <c r="H864" s="7" t="s">
        <v>141</v>
      </c>
      <c r="I864" s="7" t="str">
        <f t="shared" si="166"/>
        <v>JAMICON</v>
      </c>
      <c r="J864" s="7" t="str">
        <f t="shared" si="167"/>
        <v>100µF 35v</v>
      </c>
      <c r="K864" s="7"/>
      <c r="L864" s="7" t="str">
        <f t="shared" si="165"/>
        <v>WL</v>
      </c>
      <c r="M864" s="31">
        <f t="shared" si="159"/>
        <v>6.3</v>
      </c>
      <c r="N864" s="31">
        <f t="shared" si="160"/>
        <v>15</v>
      </c>
      <c r="O864" s="8" t="str">
        <f t="shared" si="161"/>
        <v>Jamicon-WL</v>
      </c>
      <c r="P864" s="12" t="str">
        <f t="shared" si="157"/>
        <v>Jamicon R-06.0x15.0</v>
      </c>
      <c r="Q864" s="12" t="str">
        <f t="shared" si="162"/>
        <v>100µF</v>
      </c>
      <c r="R864" s="12" t="str">
        <f t="shared" si="163"/>
        <v>35v</v>
      </c>
      <c r="S864" s="8" t="str">
        <f t="shared" si="158"/>
        <v>100µF 35v - R06.3-15.0 Jamicon (WL)</v>
      </c>
      <c r="T864" s="8">
        <f t="shared" si="164"/>
        <v>1</v>
      </c>
      <c r="U864" s="8" t="b">
        <f>NOT(ISNA(MATCH($P864,Packages!$A:$A,0)))</f>
        <v>1</v>
      </c>
    </row>
    <row r="865" spans="1:21" hidden="1">
      <c r="A865" s="6" t="s">
        <v>47</v>
      </c>
      <c r="B865" s="6" t="s">
        <v>53</v>
      </c>
      <c r="C865" s="33">
        <v>100</v>
      </c>
      <c r="D865" s="34">
        <v>35</v>
      </c>
      <c r="E865" s="6" t="s">
        <v>108</v>
      </c>
      <c r="F865" s="6" t="s">
        <v>59</v>
      </c>
      <c r="G865" s="6"/>
      <c r="H865" s="7" t="s">
        <v>141</v>
      </c>
      <c r="I865" s="7" t="str">
        <f t="shared" si="166"/>
        <v>JAMICON</v>
      </c>
      <c r="J865" s="7" t="str">
        <f t="shared" si="167"/>
        <v>100µF 35v</v>
      </c>
      <c r="K865" s="7"/>
      <c r="L865" s="7" t="str">
        <f t="shared" si="165"/>
        <v>WL</v>
      </c>
      <c r="M865" s="31">
        <f t="shared" si="159"/>
        <v>8</v>
      </c>
      <c r="N865" s="31">
        <f t="shared" si="160"/>
        <v>11.5</v>
      </c>
      <c r="O865" s="8" t="str">
        <f t="shared" si="161"/>
        <v>Jamicon-WL</v>
      </c>
      <c r="P865" s="12" t="str">
        <f t="shared" si="157"/>
        <v>Jamicon R-08.0x12.0</v>
      </c>
      <c r="Q865" s="12" t="str">
        <f t="shared" si="162"/>
        <v>100µF</v>
      </c>
      <c r="R865" s="12" t="str">
        <f t="shared" si="163"/>
        <v>35v</v>
      </c>
      <c r="S865" s="8" t="str">
        <f t="shared" si="158"/>
        <v>100µF 35v - R08.0-11.5 Jamicon (WL)</v>
      </c>
      <c r="T865" s="8">
        <f t="shared" si="164"/>
        <v>1</v>
      </c>
      <c r="U865" s="8" t="b">
        <f>NOT(ISNA(MATCH($P865,Packages!$A:$A,0)))</f>
        <v>1</v>
      </c>
    </row>
    <row r="866" spans="1:21" hidden="1">
      <c r="A866" s="6" t="s">
        <v>47</v>
      </c>
      <c r="B866" s="6" t="s">
        <v>53</v>
      </c>
      <c r="C866" s="33">
        <v>120</v>
      </c>
      <c r="D866" s="34">
        <v>35</v>
      </c>
      <c r="E866" s="6" t="s">
        <v>119</v>
      </c>
      <c r="F866" s="6" t="s">
        <v>59</v>
      </c>
      <c r="G866" s="6"/>
      <c r="H866" s="7" t="s">
        <v>141</v>
      </c>
      <c r="I866" s="7" t="str">
        <f t="shared" si="166"/>
        <v>JAMICON</v>
      </c>
      <c r="J866" s="7" t="str">
        <f t="shared" si="167"/>
        <v>120µF 35v</v>
      </c>
      <c r="K866" s="7"/>
      <c r="L866" s="7" t="str">
        <f t="shared" si="165"/>
        <v>WL</v>
      </c>
      <c r="M866" s="31">
        <f t="shared" si="159"/>
        <v>6.3</v>
      </c>
      <c r="N866" s="31">
        <f t="shared" si="160"/>
        <v>15</v>
      </c>
      <c r="O866" s="8" t="str">
        <f t="shared" si="161"/>
        <v>Jamicon-WL</v>
      </c>
      <c r="P866" s="12" t="str">
        <f t="shared" si="157"/>
        <v>Jamicon R-06.0x15.0</v>
      </c>
      <c r="Q866" s="12" t="str">
        <f t="shared" si="162"/>
        <v>120µF</v>
      </c>
      <c r="R866" s="12" t="str">
        <f t="shared" si="163"/>
        <v>35v</v>
      </c>
      <c r="S866" s="8" t="str">
        <f t="shared" si="158"/>
        <v>120µF 35v - R06.3-15.0 Jamicon (WL)</v>
      </c>
      <c r="T866" s="8">
        <f t="shared" si="164"/>
        <v>1</v>
      </c>
      <c r="U866" s="8" t="b">
        <f>NOT(ISNA(MATCH($P866,Packages!$A:$A,0)))</f>
        <v>1</v>
      </c>
    </row>
    <row r="867" spans="1:21" hidden="1">
      <c r="A867" s="6" t="s">
        <v>47</v>
      </c>
      <c r="B867" s="6" t="s">
        <v>53</v>
      </c>
      <c r="C867" s="33">
        <v>120</v>
      </c>
      <c r="D867" s="34">
        <v>35</v>
      </c>
      <c r="E867" s="6" t="s">
        <v>108</v>
      </c>
      <c r="F867" s="6" t="s">
        <v>59</v>
      </c>
      <c r="G867" s="6"/>
      <c r="H867" s="7" t="s">
        <v>141</v>
      </c>
      <c r="I867" s="7" t="str">
        <f t="shared" si="166"/>
        <v>JAMICON</v>
      </c>
      <c r="J867" s="7" t="str">
        <f t="shared" si="167"/>
        <v>120µF 35v</v>
      </c>
      <c r="K867" s="7"/>
      <c r="L867" s="7" t="str">
        <f t="shared" si="165"/>
        <v>WL</v>
      </c>
      <c r="M867" s="31">
        <f t="shared" si="159"/>
        <v>8</v>
      </c>
      <c r="N867" s="31">
        <f t="shared" si="160"/>
        <v>11.5</v>
      </c>
      <c r="O867" s="8" t="str">
        <f t="shared" si="161"/>
        <v>Jamicon-WL</v>
      </c>
      <c r="P867" s="12" t="str">
        <f t="shared" si="157"/>
        <v>Jamicon R-08.0x12.0</v>
      </c>
      <c r="Q867" s="12" t="str">
        <f t="shared" si="162"/>
        <v>120µF</v>
      </c>
      <c r="R867" s="12" t="str">
        <f t="shared" si="163"/>
        <v>35v</v>
      </c>
      <c r="S867" s="8" t="str">
        <f t="shared" si="158"/>
        <v>120µF 35v - R08.0-11.5 Jamicon (WL)</v>
      </c>
      <c r="T867" s="8">
        <f t="shared" si="164"/>
        <v>1</v>
      </c>
      <c r="U867" s="8" t="b">
        <f>NOT(ISNA(MATCH($P867,Packages!$A:$A,0)))</f>
        <v>1</v>
      </c>
    </row>
    <row r="868" spans="1:21" hidden="1">
      <c r="A868" s="6" t="s">
        <v>47</v>
      </c>
      <c r="B868" s="6" t="s">
        <v>53</v>
      </c>
      <c r="C868" s="33">
        <v>150</v>
      </c>
      <c r="D868" s="34">
        <v>35</v>
      </c>
      <c r="E868" s="6" t="s">
        <v>119</v>
      </c>
      <c r="F868" s="6" t="s">
        <v>59</v>
      </c>
      <c r="G868" s="6"/>
      <c r="H868" s="7" t="s">
        <v>141</v>
      </c>
      <c r="I868" s="7" t="str">
        <f t="shared" si="166"/>
        <v>JAMICON</v>
      </c>
      <c r="J868" s="7" t="str">
        <f t="shared" si="167"/>
        <v>150µF 35v</v>
      </c>
      <c r="K868" s="7"/>
      <c r="L868" s="7" t="str">
        <f t="shared" si="165"/>
        <v>WL</v>
      </c>
      <c r="M868" s="31">
        <f t="shared" si="159"/>
        <v>6.3</v>
      </c>
      <c r="N868" s="31">
        <f t="shared" si="160"/>
        <v>15</v>
      </c>
      <c r="O868" s="8" t="str">
        <f t="shared" si="161"/>
        <v>Jamicon-WL</v>
      </c>
      <c r="P868" s="12" t="str">
        <f t="shared" si="157"/>
        <v>Jamicon R-06.0x15.0</v>
      </c>
      <c r="Q868" s="12" t="str">
        <f t="shared" si="162"/>
        <v>150µF</v>
      </c>
      <c r="R868" s="12" t="str">
        <f t="shared" si="163"/>
        <v>35v</v>
      </c>
      <c r="S868" s="8" t="str">
        <f t="shared" si="158"/>
        <v>150µF 35v - R06.3-15.0 Jamicon (WL)</v>
      </c>
      <c r="T868" s="8">
        <f t="shared" si="164"/>
        <v>1</v>
      </c>
      <c r="U868" s="8" t="b">
        <f>NOT(ISNA(MATCH($P868,Packages!$A:$A,0)))</f>
        <v>1</v>
      </c>
    </row>
    <row r="869" spans="1:21" hidden="1">
      <c r="A869" s="6" t="s">
        <v>47</v>
      </c>
      <c r="B869" s="6" t="s">
        <v>53</v>
      </c>
      <c r="C869" s="33">
        <v>150</v>
      </c>
      <c r="D869" s="34">
        <v>35</v>
      </c>
      <c r="E869" s="6" t="s">
        <v>108</v>
      </c>
      <c r="F869" s="6" t="s">
        <v>59</v>
      </c>
      <c r="G869" s="6"/>
      <c r="H869" s="7" t="s">
        <v>141</v>
      </c>
      <c r="I869" s="7" t="str">
        <f t="shared" si="166"/>
        <v>JAMICON</v>
      </c>
      <c r="J869" s="7" t="str">
        <f t="shared" si="167"/>
        <v>150µF 35v</v>
      </c>
      <c r="K869" s="7"/>
      <c r="L869" s="7" t="str">
        <f t="shared" si="165"/>
        <v>WL</v>
      </c>
      <c r="M869" s="31">
        <f t="shared" si="159"/>
        <v>8</v>
      </c>
      <c r="N869" s="31">
        <f t="shared" si="160"/>
        <v>11.5</v>
      </c>
      <c r="O869" s="8" t="str">
        <f t="shared" si="161"/>
        <v>Jamicon-WL</v>
      </c>
      <c r="P869" s="12" t="str">
        <f t="shared" si="157"/>
        <v>Jamicon R-08.0x12.0</v>
      </c>
      <c r="Q869" s="12" t="str">
        <f t="shared" si="162"/>
        <v>150µF</v>
      </c>
      <c r="R869" s="12" t="str">
        <f t="shared" si="163"/>
        <v>35v</v>
      </c>
      <c r="S869" s="8" t="str">
        <f t="shared" si="158"/>
        <v>150µF 35v - R08.0-11.5 Jamicon (WL)</v>
      </c>
      <c r="T869" s="8">
        <f t="shared" si="164"/>
        <v>1</v>
      </c>
      <c r="U869" s="8" t="b">
        <f>NOT(ISNA(MATCH($P869,Packages!$A:$A,0)))</f>
        <v>1</v>
      </c>
    </row>
    <row r="870" spans="1:21" hidden="1">
      <c r="A870" s="6" t="s">
        <v>47</v>
      </c>
      <c r="B870" s="6" t="s">
        <v>53</v>
      </c>
      <c r="C870" s="33">
        <v>180</v>
      </c>
      <c r="D870" s="34">
        <v>35</v>
      </c>
      <c r="E870" s="6" t="s">
        <v>120</v>
      </c>
      <c r="F870" s="6" t="s">
        <v>59</v>
      </c>
      <c r="G870" s="6"/>
      <c r="H870" s="7" t="s">
        <v>141</v>
      </c>
      <c r="I870" s="7" t="str">
        <f t="shared" si="166"/>
        <v>JAMICON</v>
      </c>
      <c r="J870" s="7" t="str">
        <f t="shared" si="167"/>
        <v>180µF 35v</v>
      </c>
      <c r="K870" s="7"/>
      <c r="L870" s="7" t="str">
        <f t="shared" si="165"/>
        <v>WL</v>
      </c>
      <c r="M870" s="31">
        <f t="shared" si="159"/>
        <v>8</v>
      </c>
      <c r="N870" s="31">
        <f t="shared" si="160"/>
        <v>15</v>
      </c>
      <c r="O870" s="8" t="str">
        <f t="shared" si="161"/>
        <v>Jamicon-WL</v>
      </c>
      <c r="P870" s="12" t="str">
        <f t="shared" si="157"/>
        <v>Jamicon R-08.0x15.0</v>
      </c>
      <c r="Q870" s="12" t="str">
        <f t="shared" si="162"/>
        <v>180µF</v>
      </c>
      <c r="R870" s="12" t="str">
        <f t="shared" si="163"/>
        <v>35v</v>
      </c>
      <c r="S870" s="8" t="str">
        <f t="shared" si="158"/>
        <v>180µF 35v - R08.0-15.0 Jamicon (WL)</v>
      </c>
      <c r="T870" s="8">
        <f t="shared" si="164"/>
        <v>1</v>
      </c>
      <c r="U870" s="8" t="b">
        <f>NOT(ISNA(MATCH($P870,Packages!$A:$A,0)))</f>
        <v>1</v>
      </c>
    </row>
    <row r="871" spans="1:21" hidden="1">
      <c r="A871" s="6" t="s">
        <v>47</v>
      </c>
      <c r="B871" s="6" t="s">
        <v>53</v>
      </c>
      <c r="C871" s="33">
        <v>180</v>
      </c>
      <c r="D871" s="34">
        <v>35</v>
      </c>
      <c r="E871" s="6" t="s">
        <v>92</v>
      </c>
      <c r="F871" s="6" t="s">
        <v>59</v>
      </c>
      <c r="G871" s="6"/>
      <c r="H871" s="7" t="s">
        <v>141</v>
      </c>
      <c r="I871" s="7" t="str">
        <f t="shared" si="166"/>
        <v>JAMICON</v>
      </c>
      <c r="J871" s="7" t="str">
        <f t="shared" si="167"/>
        <v>180µF 35v</v>
      </c>
      <c r="K871" s="7"/>
      <c r="L871" s="7" t="str">
        <f t="shared" si="165"/>
        <v>WL</v>
      </c>
      <c r="M871" s="31">
        <f t="shared" si="159"/>
        <v>10</v>
      </c>
      <c r="N871" s="31">
        <f t="shared" si="160"/>
        <v>12.5</v>
      </c>
      <c r="O871" s="8" t="str">
        <f t="shared" si="161"/>
        <v>Jamicon-WL</v>
      </c>
      <c r="P871" s="12" t="str">
        <f t="shared" si="157"/>
        <v>Jamicon R-10.0x13.0</v>
      </c>
      <c r="Q871" s="12" t="str">
        <f t="shared" si="162"/>
        <v>180µF</v>
      </c>
      <c r="R871" s="12" t="str">
        <f t="shared" si="163"/>
        <v>35v</v>
      </c>
      <c r="S871" s="8" t="str">
        <f t="shared" si="158"/>
        <v>180µF 35v - R10.0-12.5 Jamicon (WL)</v>
      </c>
      <c r="T871" s="8">
        <f t="shared" si="164"/>
        <v>1</v>
      </c>
      <c r="U871" s="8" t="b">
        <f>NOT(ISNA(MATCH($P871,Packages!$A:$A,0)))</f>
        <v>1</v>
      </c>
    </row>
    <row r="872" spans="1:21" hidden="1">
      <c r="A872" s="6" t="s">
        <v>47</v>
      </c>
      <c r="B872" s="6" t="s">
        <v>53</v>
      </c>
      <c r="C872" s="33">
        <v>220</v>
      </c>
      <c r="D872" s="34">
        <v>35</v>
      </c>
      <c r="E872" s="6" t="s">
        <v>120</v>
      </c>
      <c r="F872" s="6" t="s">
        <v>59</v>
      </c>
      <c r="G872" s="6"/>
      <c r="H872" s="7" t="s">
        <v>141</v>
      </c>
      <c r="I872" s="7" t="str">
        <f t="shared" si="166"/>
        <v>JAMICON</v>
      </c>
      <c r="J872" s="7" t="str">
        <f t="shared" si="167"/>
        <v>220µF 35v</v>
      </c>
      <c r="K872" s="7"/>
      <c r="L872" s="7" t="str">
        <f t="shared" si="165"/>
        <v>WL</v>
      </c>
      <c r="M872" s="31">
        <f t="shared" si="159"/>
        <v>8</v>
      </c>
      <c r="N872" s="31">
        <f t="shared" si="160"/>
        <v>15</v>
      </c>
      <c r="O872" s="8" t="str">
        <f t="shared" si="161"/>
        <v>Jamicon-WL</v>
      </c>
      <c r="P872" s="12" t="str">
        <f t="shared" si="157"/>
        <v>Jamicon R-08.0x15.0</v>
      </c>
      <c r="Q872" s="12" t="str">
        <f t="shared" si="162"/>
        <v>220µF</v>
      </c>
      <c r="R872" s="12" t="str">
        <f t="shared" si="163"/>
        <v>35v</v>
      </c>
      <c r="S872" s="8" t="str">
        <f t="shared" si="158"/>
        <v>220µF 35v - R08.0-15.0 Jamicon (WL)</v>
      </c>
      <c r="T872" s="8">
        <f t="shared" si="164"/>
        <v>1</v>
      </c>
      <c r="U872" s="8" t="b">
        <f>NOT(ISNA(MATCH($P872,Packages!$A:$A,0)))</f>
        <v>1</v>
      </c>
    </row>
    <row r="873" spans="1:21" hidden="1">
      <c r="A873" s="6" t="s">
        <v>47</v>
      </c>
      <c r="B873" s="6" t="s">
        <v>53</v>
      </c>
      <c r="C873" s="33">
        <v>220</v>
      </c>
      <c r="D873" s="34">
        <v>35</v>
      </c>
      <c r="E873" s="6" t="s">
        <v>92</v>
      </c>
      <c r="F873" s="6" t="s">
        <v>59</v>
      </c>
      <c r="G873" s="6"/>
      <c r="H873" s="7" t="s">
        <v>141</v>
      </c>
      <c r="I873" s="7" t="str">
        <f t="shared" si="166"/>
        <v>JAMICON</v>
      </c>
      <c r="J873" s="7" t="str">
        <f t="shared" si="167"/>
        <v>220µF 35v</v>
      </c>
      <c r="K873" s="7"/>
      <c r="L873" s="7" t="str">
        <f t="shared" si="165"/>
        <v>WL</v>
      </c>
      <c r="M873" s="31">
        <f t="shared" si="159"/>
        <v>10</v>
      </c>
      <c r="N873" s="31">
        <f t="shared" si="160"/>
        <v>12.5</v>
      </c>
      <c r="O873" s="8" t="str">
        <f t="shared" si="161"/>
        <v>Jamicon-WL</v>
      </c>
      <c r="P873" s="12" t="str">
        <f t="shared" si="157"/>
        <v>Jamicon R-10.0x13.0</v>
      </c>
      <c r="Q873" s="12" t="str">
        <f t="shared" si="162"/>
        <v>220µF</v>
      </c>
      <c r="R873" s="12" t="str">
        <f t="shared" si="163"/>
        <v>35v</v>
      </c>
      <c r="S873" s="8" t="str">
        <f t="shared" si="158"/>
        <v>220µF 35v - R10.0-12.5 Jamicon (WL)</v>
      </c>
      <c r="T873" s="8">
        <f t="shared" si="164"/>
        <v>1</v>
      </c>
      <c r="U873" s="8" t="b">
        <f>NOT(ISNA(MATCH($P873,Packages!$A:$A,0)))</f>
        <v>1</v>
      </c>
    </row>
    <row r="874" spans="1:21" hidden="1">
      <c r="A874" s="6" t="s">
        <v>47</v>
      </c>
      <c r="B874" s="6" t="s">
        <v>53</v>
      </c>
      <c r="C874" s="33">
        <v>270</v>
      </c>
      <c r="D874" s="34">
        <v>35</v>
      </c>
      <c r="E874" s="6" t="s">
        <v>121</v>
      </c>
      <c r="F874" s="6" t="s">
        <v>59</v>
      </c>
      <c r="G874" s="6"/>
      <c r="H874" s="7" t="s">
        <v>141</v>
      </c>
      <c r="I874" s="7" t="str">
        <f t="shared" si="166"/>
        <v>JAMICON</v>
      </c>
      <c r="J874" s="7" t="str">
        <f t="shared" si="167"/>
        <v>270µF 35v</v>
      </c>
      <c r="K874" s="7"/>
      <c r="L874" s="7" t="str">
        <f t="shared" si="165"/>
        <v>WL</v>
      </c>
      <c r="M874" s="31">
        <f t="shared" si="159"/>
        <v>8</v>
      </c>
      <c r="N874" s="31">
        <f t="shared" si="160"/>
        <v>20</v>
      </c>
      <c r="O874" s="8" t="str">
        <f t="shared" si="161"/>
        <v>Jamicon-WL</v>
      </c>
      <c r="P874" s="12" t="str">
        <f t="shared" si="157"/>
        <v>Jamicon R-08.0x20.0</v>
      </c>
      <c r="Q874" s="12" t="str">
        <f t="shared" si="162"/>
        <v>270µF</v>
      </c>
      <c r="R874" s="12" t="str">
        <f t="shared" si="163"/>
        <v>35v</v>
      </c>
      <c r="S874" s="8" t="str">
        <f t="shared" si="158"/>
        <v>270µF 35v - R08.0-20.0 Jamicon (WL)</v>
      </c>
      <c r="T874" s="8">
        <f t="shared" si="164"/>
        <v>1</v>
      </c>
      <c r="U874" s="8" t="b">
        <f>NOT(ISNA(MATCH($P874,Packages!$A:$A,0)))</f>
        <v>1</v>
      </c>
    </row>
    <row r="875" spans="1:21" hidden="1">
      <c r="A875" s="6" t="s">
        <v>47</v>
      </c>
      <c r="B875" s="6" t="s">
        <v>53</v>
      </c>
      <c r="C875" s="33">
        <v>270</v>
      </c>
      <c r="D875" s="34">
        <v>35</v>
      </c>
      <c r="E875" s="6" t="s">
        <v>74</v>
      </c>
      <c r="F875" s="6" t="s">
        <v>59</v>
      </c>
      <c r="G875" s="6"/>
      <c r="H875" s="7" t="s">
        <v>141</v>
      </c>
      <c r="I875" s="7" t="str">
        <f t="shared" si="166"/>
        <v>JAMICON</v>
      </c>
      <c r="J875" s="7" t="str">
        <f t="shared" si="167"/>
        <v>270µF 35v</v>
      </c>
      <c r="K875" s="7"/>
      <c r="L875" s="7" t="str">
        <f t="shared" si="165"/>
        <v>WL</v>
      </c>
      <c r="M875" s="31">
        <f t="shared" si="159"/>
        <v>10</v>
      </c>
      <c r="N875" s="31">
        <f t="shared" si="160"/>
        <v>16</v>
      </c>
      <c r="O875" s="8" t="str">
        <f t="shared" si="161"/>
        <v>Jamicon-WL</v>
      </c>
      <c r="P875" s="12" t="str">
        <f t="shared" si="157"/>
        <v>Jamicon R-10.0x16.0</v>
      </c>
      <c r="Q875" s="12" t="str">
        <f t="shared" si="162"/>
        <v>270µF</v>
      </c>
      <c r="R875" s="12" t="str">
        <f t="shared" si="163"/>
        <v>35v</v>
      </c>
      <c r="S875" s="8" t="str">
        <f t="shared" si="158"/>
        <v>270µF 35v - R10.0-16.0 Jamicon (WL)</v>
      </c>
      <c r="T875" s="8">
        <f t="shared" si="164"/>
        <v>1</v>
      </c>
      <c r="U875" s="8" t="b">
        <f>NOT(ISNA(MATCH($P875,Packages!$A:$A,0)))</f>
        <v>1</v>
      </c>
    </row>
    <row r="876" spans="1:21" hidden="1">
      <c r="A876" s="6" t="s">
        <v>47</v>
      </c>
      <c r="B876" s="6" t="s">
        <v>53</v>
      </c>
      <c r="C876" s="33">
        <v>330</v>
      </c>
      <c r="D876" s="34">
        <v>35</v>
      </c>
      <c r="E876" s="6" t="s">
        <v>121</v>
      </c>
      <c r="F876" s="6" t="s">
        <v>59</v>
      </c>
      <c r="G876" s="6"/>
      <c r="H876" s="7" t="s">
        <v>141</v>
      </c>
      <c r="I876" s="7" t="str">
        <f t="shared" si="166"/>
        <v>JAMICON</v>
      </c>
      <c r="J876" s="7" t="str">
        <f t="shared" si="167"/>
        <v>330µF 35v</v>
      </c>
      <c r="K876" s="7"/>
      <c r="L876" s="7" t="str">
        <f t="shared" si="165"/>
        <v>WL</v>
      </c>
      <c r="M876" s="31">
        <f t="shared" si="159"/>
        <v>8</v>
      </c>
      <c r="N876" s="31">
        <f t="shared" si="160"/>
        <v>20</v>
      </c>
      <c r="O876" s="8" t="str">
        <f t="shared" si="161"/>
        <v>Jamicon-WL</v>
      </c>
      <c r="P876" s="12" t="str">
        <f t="shared" si="157"/>
        <v>Jamicon R-08.0x20.0</v>
      </c>
      <c r="Q876" s="12" t="str">
        <f t="shared" si="162"/>
        <v>330µF</v>
      </c>
      <c r="R876" s="12" t="str">
        <f t="shared" si="163"/>
        <v>35v</v>
      </c>
      <c r="S876" s="8" t="str">
        <f t="shared" si="158"/>
        <v>330µF 35v - R08.0-20.0 Jamicon (WL)</v>
      </c>
      <c r="T876" s="8">
        <f t="shared" si="164"/>
        <v>1</v>
      </c>
      <c r="U876" s="8" t="b">
        <f>NOT(ISNA(MATCH($P876,Packages!$A:$A,0)))</f>
        <v>1</v>
      </c>
    </row>
    <row r="877" spans="1:21" hidden="1">
      <c r="A877" s="6" t="s">
        <v>47</v>
      </c>
      <c r="B877" s="6" t="s">
        <v>53</v>
      </c>
      <c r="C877" s="33">
        <v>330</v>
      </c>
      <c r="D877" s="34">
        <v>35</v>
      </c>
      <c r="E877" s="6" t="s">
        <v>74</v>
      </c>
      <c r="F877" s="6" t="s">
        <v>59</v>
      </c>
      <c r="G877" s="6"/>
      <c r="H877" s="7" t="s">
        <v>141</v>
      </c>
      <c r="I877" s="7" t="str">
        <f t="shared" si="166"/>
        <v>JAMICON</v>
      </c>
      <c r="J877" s="7" t="str">
        <f t="shared" si="167"/>
        <v>330µF 35v</v>
      </c>
      <c r="K877" s="7"/>
      <c r="L877" s="7" t="str">
        <f t="shared" si="165"/>
        <v>WL</v>
      </c>
      <c r="M877" s="31">
        <f t="shared" si="159"/>
        <v>10</v>
      </c>
      <c r="N877" s="31">
        <f t="shared" si="160"/>
        <v>16</v>
      </c>
      <c r="O877" s="8" t="str">
        <f t="shared" si="161"/>
        <v>Jamicon-WL</v>
      </c>
      <c r="P877" s="12" t="str">
        <f t="shared" si="157"/>
        <v>Jamicon R-10.0x16.0</v>
      </c>
      <c r="Q877" s="12" t="str">
        <f t="shared" si="162"/>
        <v>330µF</v>
      </c>
      <c r="R877" s="12" t="str">
        <f t="shared" si="163"/>
        <v>35v</v>
      </c>
      <c r="S877" s="8" t="str">
        <f t="shared" si="158"/>
        <v>330µF 35v - R10.0-16.0 Jamicon (WL)</v>
      </c>
      <c r="T877" s="8">
        <f t="shared" si="164"/>
        <v>1</v>
      </c>
      <c r="U877" s="8" t="b">
        <f>NOT(ISNA(MATCH($P877,Packages!$A:$A,0)))</f>
        <v>1</v>
      </c>
    </row>
    <row r="878" spans="1:21" hidden="1">
      <c r="A878" s="6" t="s">
        <v>47</v>
      </c>
      <c r="B878" s="6" t="s">
        <v>53</v>
      </c>
      <c r="C878" s="33">
        <v>390</v>
      </c>
      <c r="D878" s="34">
        <v>35</v>
      </c>
      <c r="E878" s="6" t="s">
        <v>94</v>
      </c>
      <c r="F878" s="6" t="s">
        <v>59</v>
      </c>
      <c r="G878" s="6"/>
      <c r="H878" s="7" t="s">
        <v>141</v>
      </c>
      <c r="I878" s="7" t="str">
        <f t="shared" si="166"/>
        <v>JAMICON</v>
      </c>
      <c r="J878" s="7" t="str">
        <f t="shared" si="167"/>
        <v>390µF 35v</v>
      </c>
      <c r="K878" s="7"/>
      <c r="L878" s="7" t="str">
        <f t="shared" si="165"/>
        <v>WL</v>
      </c>
      <c r="M878" s="31">
        <f t="shared" si="159"/>
        <v>10</v>
      </c>
      <c r="N878" s="31">
        <f t="shared" si="160"/>
        <v>20</v>
      </c>
      <c r="O878" s="8" t="str">
        <f t="shared" si="161"/>
        <v>Jamicon-WL</v>
      </c>
      <c r="P878" s="12" t="str">
        <f t="shared" si="157"/>
        <v>Jamicon R-10.0x20.0</v>
      </c>
      <c r="Q878" s="12" t="str">
        <f t="shared" si="162"/>
        <v>390µF</v>
      </c>
      <c r="R878" s="12" t="str">
        <f t="shared" si="163"/>
        <v>35v</v>
      </c>
      <c r="S878" s="8" t="str">
        <f t="shared" si="158"/>
        <v>390µF 35v - R10.0-20.0 Jamicon (WL)</v>
      </c>
      <c r="T878" s="8">
        <f t="shared" si="164"/>
        <v>1</v>
      </c>
      <c r="U878" s="8" t="b">
        <f>NOT(ISNA(MATCH($P878,Packages!$A:$A,0)))</f>
        <v>1</v>
      </c>
    </row>
    <row r="879" spans="1:21" hidden="1">
      <c r="A879" s="6" t="s">
        <v>47</v>
      </c>
      <c r="B879" s="6" t="s">
        <v>53</v>
      </c>
      <c r="C879" s="33">
        <v>390</v>
      </c>
      <c r="D879" s="34">
        <v>35</v>
      </c>
      <c r="E879" s="6" t="s">
        <v>122</v>
      </c>
      <c r="F879" s="6" t="s">
        <v>59</v>
      </c>
      <c r="G879" s="6"/>
      <c r="H879" s="7" t="s">
        <v>141</v>
      </c>
      <c r="I879" s="7" t="str">
        <f t="shared" si="166"/>
        <v>JAMICON</v>
      </c>
      <c r="J879" s="7" t="str">
        <f t="shared" si="167"/>
        <v>390µF 35v</v>
      </c>
      <c r="K879" s="7"/>
      <c r="L879" s="7" t="str">
        <f t="shared" si="165"/>
        <v>WL</v>
      </c>
      <c r="M879" s="31">
        <f t="shared" si="159"/>
        <v>12.5</v>
      </c>
      <c r="N879" s="31">
        <f t="shared" si="160"/>
        <v>15</v>
      </c>
      <c r="O879" s="8" t="str">
        <f t="shared" si="161"/>
        <v>Jamicon-WL</v>
      </c>
      <c r="P879" s="12" t="str">
        <f t="shared" si="157"/>
        <v>Jamicon R-13.0x15.0</v>
      </c>
      <c r="Q879" s="12" t="str">
        <f t="shared" si="162"/>
        <v>390µF</v>
      </c>
      <c r="R879" s="12" t="str">
        <f t="shared" si="163"/>
        <v>35v</v>
      </c>
      <c r="S879" s="8" t="str">
        <f t="shared" si="158"/>
        <v>390µF 35v - R12.5-15.0 Jamicon (WL)</v>
      </c>
      <c r="T879" s="8">
        <f t="shared" si="164"/>
        <v>1</v>
      </c>
      <c r="U879" s="8" t="b">
        <f>NOT(ISNA(MATCH($P879,Packages!$A:$A,0)))</f>
        <v>1</v>
      </c>
    </row>
    <row r="880" spans="1:21" hidden="1">
      <c r="A880" s="6" t="s">
        <v>47</v>
      </c>
      <c r="B880" s="6" t="s">
        <v>53</v>
      </c>
      <c r="C880" s="33">
        <v>470</v>
      </c>
      <c r="D880" s="34">
        <v>35</v>
      </c>
      <c r="E880" s="6" t="s">
        <v>94</v>
      </c>
      <c r="F880" s="6" t="s">
        <v>59</v>
      </c>
      <c r="G880" s="6"/>
      <c r="H880" s="7" t="s">
        <v>141</v>
      </c>
      <c r="I880" s="7" t="str">
        <f t="shared" si="166"/>
        <v>JAMICON</v>
      </c>
      <c r="J880" s="7" t="str">
        <f t="shared" si="167"/>
        <v>470µF 35v</v>
      </c>
      <c r="K880" s="7"/>
      <c r="L880" s="7" t="str">
        <f t="shared" si="165"/>
        <v>WL</v>
      </c>
      <c r="M880" s="31">
        <f t="shared" si="159"/>
        <v>10</v>
      </c>
      <c r="N880" s="31">
        <f t="shared" si="160"/>
        <v>20</v>
      </c>
      <c r="O880" s="8" t="str">
        <f t="shared" si="161"/>
        <v>Jamicon-WL</v>
      </c>
      <c r="P880" s="12" t="str">
        <f t="shared" si="157"/>
        <v>Jamicon R-10.0x20.0</v>
      </c>
      <c r="Q880" s="12" t="str">
        <f t="shared" si="162"/>
        <v>470µF</v>
      </c>
      <c r="R880" s="12" t="str">
        <f t="shared" si="163"/>
        <v>35v</v>
      </c>
      <c r="S880" s="8" t="str">
        <f t="shared" si="158"/>
        <v>470µF 35v - R10.0-20.0 Jamicon (WL)</v>
      </c>
      <c r="T880" s="8">
        <f t="shared" si="164"/>
        <v>1</v>
      </c>
      <c r="U880" s="8" t="b">
        <f>NOT(ISNA(MATCH($P880,Packages!$A:$A,0)))</f>
        <v>1</v>
      </c>
    </row>
    <row r="881" spans="1:21" hidden="1">
      <c r="A881" s="6" t="s">
        <v>47</v>
      </c>
      <c r="B881" s="6" t="s">
        <v>53</v>
      </c>
      <c r="C881" s="33">
        <v>470</v>
      </c>
      <c r="D881" s="34">
        <v>35</v>
      </c>
      <c r="E881" s="6" t="s">
        <v>122</v>
      </c>
      <c r="F881" s="6" t="s">
        <v>59</v>
      </c>
      <c r="G881" s="6"/>
      <c r="H881" s="7" t="s">
        <v>141</v>
      </c>
      <c r="I881" s="7" t="str">
        <f t="shared" si="166"/>
        <v>JAMICON</v>
      </c>
      <c r="J881" s="7" t="str">
        <f t="shared" si="167"/>
        <v>470µF 35v</v>
      </c>
      <c r="K881" s="7"/>
      <c r="L881" s="7" t="str">
        <f t="shared" si="165"/>
        <v>WL</v>
      </c>
      <c r="M881" s="31">
        <f t="shared" si="159"/>
        <v>12.5</v>
      </c>
      <c r="N881" s="31">
        <f t="shared" si="160"/>
        <v>15</v>
      </c>
      <c r="O881" s="8" t="str">
        <f t="shared" si="161"/>
        <v>Jamicon-WL</v>
      </c>
      <c r="P881" s="12" t="str">
        <f t="shared" si="157"/>
        <v>Jamicon R-13.0x15.0</v>
      </c>
      <c r="Q881" s="12" t="str">
        <f t="shared" si="162"/>
        <v>470µF</v>
      </c>
      <c r="R881" s="12" t="str">
        <f t="shared" si="163"/>
        <v>35v</v>
      </c>
      <c r="S881" s="8" t="str">
        <f t="shared" si="158"/>
        <v>470µF 35v - R12.5-15.0 Jamicon (WL)</v>
      </c>
      <c r="T881" s="8">
        <f t="shared" si="164"/>
        <v>1</v>
      </c>
      <c r="U881" s="8" t="b">
        <f>NOT(ISNA(MATCH($P881,Packages!$A:$A,0)))</f>
        <v>1</v>
      </c>
    </row>
    <row r="882" spans="1:21" hidden="1">
      <c r="A882" s="6" t="s">
        <v>47</v>
      </c>
      <c r="B882" s="6" t="s">
        <v>53</v>
      </c>
      <c r="C882" s="33">
        <v>560</v>
      </c>
      <c r="D882" s="34">
        <v>35</v>
      </c>
      <c r="E882" s="6" t="s">
        <v>123</v>
      </c>
      <c r="F882" s="6" t="s">
        <v>59</v>
      </c>
      <c r="G882" s="6"/>
      <c r="H882" s="7" t="s">
        <v>141</v>
      </c>
      <c r="I882" s="7" t="str">
        <f t="shared" si="166"/>
        <v>JAMICON</v>
      </c>
      <c r="J882" s="7" t="str">
        <f t="shared" si="167"/>
        <v>560µF 35v</v>
      </c>
      <c r="K882" s="7"/>
      <c r="L882" s="7" t="str">
        <f t="shared" si="165"/>
        <v>WL</v>
      </c>
      <c r="M882" s="31">
        <f t="shared" si="159"/>
        <v>10</v>
      </c>
      <c r="N882" s="31">
        <f t="shared" si="160"/>
        <v>25</v>
      </c>
      <c r="O882" s="8" t="str">
        <f t="shared" si="161"/>
        <v>Jamicon-WL</v>
      </c>
      <c r="P882" s="12" t="str">
        <f t="shared" si="157"/>
        <v>Jamicon R-10.0x25.0</v>
      </c>
      <c r="Q882" s="12" t="str">
        <f t="shared" si="162"/>
        <v>560µF</v>
      </c>
      <c r="R882" s="12" t="str">
        <f t="shared" si="163"/>
        <v>35v</v>
      </c>
      <c r="S882" s="8" t="str">
        <f t="shared" si="158"/>
        <v>560µF 35v - R10.0-25.0 Jamicon (WL)</v>
      </c>
      <c r="T882" s="8">
        <f t="shared" si="164"/>
        <v>1</v>
      </c>
      <c r="U882" s="8" t="b">
        <f>NOT(ISNA(MATCH($P882,Packages!$A:$A,0)))</f>
        <v>1</v>
      </c>
    </row>
    <row r="883" spans="1:21" hidden="1">
      <c r="A883" s="6" t="s">
        <v>47</v>
      </c>
      <c r="B883" s="6" t="s">
        <v>53</v>
      </c>
      <c r="C883" s="33">
        <v>560</v>
      </c>
      <c r="D883" s="34">
        <v>35</v>
      </c>
      <c r="E883" s="6" t="s">
        <v>124</v>
      </c>
      <c r="F883" s="6" t="s">
        <v>59</v>
      </c>
      <c r="G883" s="6"/>
      <c r="H883" s="7" t="s">
        <v>141</v>
      </c>
      <c r="I883" s="7" t="str">
        <f t="shared" si="166"/>
        <v>JAMICON</v>
      </c>
      <c r="J883" s="7" t="str">
        <f t="shared" si="167"/>
        <v>560µF 35v</v>
      </c>
      <c r="K883" s="7"/>
      <c r="L883" s="7" t="str">
        <f t="shared" si="165"/>
        <v>WL</v>
      </c>
      <c r="M883" s="31">
        <f t="shared" si="159"/>
        <v>12.5</v>
      </c>
      <c r="N883" s="31">
        <f t="shared" si="160"/>
        <v>18</v>
      </c>
      <c r="O883" s="8" t="str">
        <f t="shared" si="161"/>
        <v>Jamicon-WL</v>
      </c>
      <c r="P883" s="12" t="str">
        <f t="shared" si="157"/>
        <v>Jamicon R-13.0x18.0</v>
      </c>
      <c r="Q883" s="12" t="str">
        <f t="shared" si="162"/>
        <v>560µF</v>
      </c>
      <c r="R883" s="12" t="str">
        <f t="shared" si="163"/>
        <v>35v</v>
      </c>
      <c r="S883" s="8" t="str">
        <f t="shared" si="158"/>
        <v>560µF 35v - R12.5-18.0 Jamicon (WL)</v>
      </c>
      <c r="T883" s="8">
        <f t="shared" si="164"/>
        <v>1</v>
      </c>
      <c r="U883" s="8" t="b">
        <f>NOT(ISNA(MATCH($P883,Packages!$A:$A,0)))</f>
        <v>1</v>
      </c>
    </row>
    <row r="884" spans="1:21" hidden="1">
      <c r="A884" s="6" t="s">
        <v>47</v>
      </c>
      <c r="B884" s="6" t="s">
        <v>53</v>
      </c>
      <c r="C884" s="33">
        <v>680</v>
      </c>
      <c r="D884" s="34">
        <v>35</v>
      </c>
      <c r="E884" s="6" t="s">
        <v>125</v>
      </c>
      <c r="F884" s="6" t="s">
        <v>59</v>
      </c>
      <c r="G884" s="6"/>
      <c r="H884" s="7" t="s">
        <v>141</v>
      </c>
      <c r="I884" s="7" t="str">
        <f t="shared" si="166"/>
        <v>JAMICON</v>
      </c>
      <c r="J884" s="7" t="str">
        <f t="shared" si="167"/>
        <v>680µF 35v</v>
      </c>
      <c r="K884" s="7"/>
      <c r="L884" s="7" t="str">
        <f t="shared" si="165"/>
        <v>WL</v>
      </c>
      <c r="M884" s="31">
        <f t="shared" si="159"/>
        <v>10</v>
      </c>
      <c r="N884" s="31">
        <f t="shared" si="160"/>
        <v>28</v>
      </c>
      <c r="O884" s="8" t="str">
        <f t="shared" si="161"/>
        <v>Jamicon-WL</v>
      </c>
      <c r="P884" s="12" t="str">
        <f t="shared" si="157"/>
        <v>Jamicon R-10.0x28.0</v>
      </c>
      <c r="Q884" s="12" t="str">
        <f t="shared" si="162"/>
        <v>680µF</v>
      </c>
      <c r="R884" s="12" t="str">
        <f t="shared" si="163"/>
        <v>35v</v>
      </c>
      <c r="S884" s="8" t="str">
        <f t="shared" si="158"/>
        <v>680µF 35v - R10.0-28.0 Jamicon (WL)</v>
      </c>
      <c r="T884" s="8">
        <f t="shared" si="164"/>
        <v>1</v>
      </c>
      <c r="U884" s="8" t="b">
        <f>NOT(ISNA(MATCH($P884,Packages!$A:$A,0)))</f>
        <v>1</v>
      </c>
    </row>
    <row r="885" spans="1:21" hidden="1">
      <c r="A885" s="6" t="s">
        <v>47</v>
      </c>
      <c r="B885" s="6" t="s">
        <v>53</v>
      </c>
      <c r="C885" s="33">
        <v>680</v>
      </c>
      <c r="D885" s="34">
        <v>35</v>
      </c>
      <c r="E885" s="6" t="s">
        <v>126</v>
      </c>
      <c r="F885" s="6" t="s">
        <v>59</v>
      </c>
      <c r="G885" s="6"/>
      <c r="H885" s="7" t="s">
        <v>141</v>
      </c>
      <c r="I885" s="7" t="str">
        <f t="shared" si="166"/>
        <v>JAMICON</v>
      </c>
      <c r="J885" s="7" t="str">
        <f t="shared" si="167"/>
        <v>680µF 35v</v>
      </c>
      <c r="K885" s="7"/>
      <c r="L885" s="7" t="str">
        <f t="shared" si="165"/>
        <v>WL</v>
      </c>
      <c r="M885" s="31">
        <f t="shared" si="159"/>
        <v>16</v>
      </c>
      <c r="N885" s="31">
        <f t="shared" si="160"/>
        <v>15</v>
      </c>
      <c r="O885" s="8" t="str">
        <f t="shared" si="161"/>
        <v>Jamicon-WL</v>
      </c>
      <c r="P885" s="12" t="str">
        <f t="shared" si="157"/>
        <v>Jamicon R-16.0x15.0</v>
      </c>
      <c r="Q885" s="12" t="str">
        <f t="shared" si="162"/>
        <v>680µF</v>
      </c>
      <c r="R885" s="12" t="str">
        <f t="shared" si="163"/>
        <v>35v</v>
      </c>
      <c r="S885" s="8" t="str">
        <f t="shared" si="158"/>
        <v>680µF 35v - R16.0-15.0 Jamicon (WL)</v>
      </c>
      <c r="T885" s="8">
        <f t="shared" si="164"/>
        <v>1</v>
      </c>
      <c r="U885" s="8" t="b">
        <f>NOT(ISNA(MATCH($P885,Packages!$A:$A,0)))</f>
        <v>1</v>
      </c>
    </row>
    <row r="886" spans="1:21" hidden="1">
      <c r="A886" s="6" t="s">
        <v>47</v>
      </c>
      <c r="B886" s="6" t="s">
        <v>53</v>
      </c>
      <c r="C886" s="33">
        <v>820</v>
      </c>
      <c r="D886" s="34">
        <v>35</v>
      </c>
      <c r="E886" s="6" t="s">
        <v>135</v>
      </c>
      <c r="F886" s="6" t="s">
        <v>59</v>
      </c>
      <c r="G886" s="6"/>
      <c r="H886" s="7" t="s">
        <v>141</v>
      </c>
      <c r="I886" s="7" t="str">
        <f t="shared" si="166"/>
        <v>JAMICON</v>
      </c>
      <c r="J886" s="7" t="str">
        <f t="shared" si="167"/>
        <v>820µF 35v</v>
      </c>
      <c r="K886" s="7"/>
      <c r="L886" s="7" t="str">
        <f t="shared" si="165"/>
        <v>WL</v>
      </c>
      <c r="M886" s="31">
        <f t="shared" si="159"/>
        <v>10</v>
      </c>
      <c r="N886" s="31">
        <f t="shared" si="160"/>
        <v>30</v>
      </c>
      <c r="O886" s="8" t="str">
        <f t="shared" si="161"/>
        <v>Jamicon-WL</v>
      </c>
      <c r="P886" s="12" t="str">
        <f t="shared" si="157"/>
        <v>Jamicon R-10.0x30.0</v>
      </c>
      <c r="Q886" s="12" t="str">
        <f t="shared" si="162"/>
        <v>820µF</v>
      </c>
      <c r="R886" s="12" t="str">
        <f t="shared" si="163"/>
        <v>35v</v>
      </c>
      <c r="S886" s="8" t="str">
        <f t="shared" si="158"/>
        <v>820µF 35v - R10.0-30.0 Jamicon (WL)</v>
      </c>
      <c r="T886" s="8">
        <f t="shared" si="164"/>
        <v>1</v>
      </c>
      <c r="U886" s="8" t="b">
        <f>NOT(ISNA(MATCH($P886,Packages!$A:$A,0)))</f>
        <v>1</v>
      </c>
    </row>
    <row r="887" spans="1:21" hidden="1">
      <c r="A887" s="6" t="s">
        <v>47</v>
      </c>
      <c r="B887" s="6" t="s">
        <v>53</v>
      </c>
      <c r="C887" s="33">
        <v>820</v>
      </c>
      <c r="D887" s="34">
        <v>35</v>
      </c>
      <c r="E887" s="6" t="s">
        <v>126</v>
      </c>
      <c r="F887" s="6" t="s">
        <v>59</v>
      </c>
      <c r="G887" s="6"/>
      <c r="H887" s="7" t="s">
        <v>141</v>
      </c>
      <c r="I887" s="7" t="str">
        <f t="shared" si="166"/>
        <v>JAMICON</v>
      </c>
      <c r="J887" s="7" t="str">
        <f t="shared" si="167"/>
        <v>820µF 35v</v>
      </c>
      <c r="K887" s="7"/>
      <c r="L887" s="7" t="str">
        <f t="shared" si="165"/>
        <v>WL</v>
      </c>
      <c r="M887" s="31">
        <f t="shared" si="159"/>
        <v>16</v>
      </c>
      <c r="N887" s="31">
        <f t="shared" si="160"/>
        <v>15</v>
      </c>
      <c r="O887" s="8" t="str">
        <f t="shared" si="161"/>
        <v>Jamicon-WL</v>
      </c>
      <c r="P887" s="12" t="str">
        <f t="shared" si="157"/>
        <v>Jamicon R-16.0x15.0</v>
      </c>
      <c r="Q887" s="12" t="str">
        <f t="shared" si="162"/>
        <v>820µF</v>
      </c>
      <c r="R887" s="12" t="str">
        <f t="shared" si="163"/>
        <v>35v</v>
      </c>
      <c r="S887" s="8" t="str">
        <f t="shared" si="158"/>
        <v>820µF 35v - R16.0-15.0 Jamicon (WL)</v>
      </c>
      <c r="T887" s="8">
        <f t="shared" si="164"/>
        <v>1</v>
      </c>
      <c r="U887" s="8" t="b">
        <f>NOT(ISNA(MATCH($P887,Packages!$A:$A,0)))</f>
        <v>1</v>
      </c>
    </row>
    <row r="888" spans="1:21" hidden="1">
      <c r="A888" s="6" t="s">
        <v>47</v>
      </c>
      <c r="B888" s="6" t="s">
        <v>53</v>
      </c>
      <c r="C888" s="33">
        <v>1000</v>
      </c>
      <c r="D888" s="34">
        <v>35</v>
      </c>
      <c r="E888" s="6" t="s">
        <v>96</v>
      </c>
      <c r="F888" s="6" t="s">
        <v>59</v>
      </c>
      <c r="G888" s="6"/>
      <c r="H888" s="7" t="s">
        <v>141</v>
      </c>
      <c r="I888" s="7" t="str">
        <f t="shared" si="166"/>
        <v>JAMICON</v>
      </c>
      <c r="J888" s="7" t="str">
        <f t="shared" si="167"/>
        <v>1000µF 35v</v>
      </c>
      <c r="K888" s="7"/>
      <c r="L888" s="7" t="str">
        <f t="shared" si="165"/>
        <v>WL</v>
      </c>
      <c r="M888" s="31">
        <f t="shared" si="159"/>
        <v>12.5</v>
      </c>
      <c r="N888" s="31">
        <f t="shared" si="160"/>
        <v>25</v>
      </c>
      <c r="O888" s="8" t="str">
        <f t="shared" si="161"/>
        <v>Jamicon-WL</v>
      </c>
      <c r="P888" s="12" t="str">
        <f t="shared" si="157"/>
        <v>Jamicon R-13.0x25.0</v>
      </c>
      <c r="Q888" s="12" t="str">
        <f t="shared" si="162"/>
        <v>1000µF</v>
      </c>
      <c r="R888" s="12" t="str">
        <f t="shared" si="163"/>
        <v>35v</v>
      </c>
      <c r="S888" s="8" t="str">
        <f t="shared" si="158"/>
        <v>1000µF 35v - R12.5-25.0 Jamicon (WL)</v>
      </c>
      <c r="T888" s="8">
        <f t="shared" si="164"/>
        <v>1</v>
      </c>
      <c r="U888" s="8" t="b">
        <f>NOT(ISNA(MATCH($P888,Packages!$A:$A,0)))</f>
        <v>1</v>
      </c>
    </row>
    <row r="889" spans="1:21" hidden="1">
      <c r="A889" s="6" t="s">
        <v>47</v>
      </c>
      <c r="B889" s="6" t="s">
        <v>53</v>
      </c>
      <c r="C889" s="33">
        <v>1000</v>
      </c>
      <c r="D889" s="34">
        <v>35</v>
      </c>
      <c r="E889" s="6" t="s">
        <v>127</v>
      </c>
      <c r="F889" s="6" t="s">
        <v>59</v>
      </c>
      <c r="G889" s="6"/>
      <c r="H889" s="7" t="s">
        <v>141</v>
      </c>
      <c r="I889" s="7" t="str">
        <f t="shared" si="166"/>
        <v>JAMICON</v>
      </c>
      <c r="J889" s="7" t="str">
        <f t="shared" si="167"/>
        <v>1000µF 35v</v>
      </c>
      <c r="K889" s="7"/>
      <c r="L889" s="7" t="str">
        <f t="shared" si="165"/>
        <v>WL</v>
      </c>
      <c r="M889" s="31">
        <f t="shared" si="159"/>
        <v>18</v>
      </c>
      <c r="N889" s="31">
        <f t="shared" si="160"/>
        <v>15</v>
      </c>
      <c r="O889" s="8" t="str">
        <f t="shared" si="161"/>
        <v>Jamicon-WL</v>
      </c>
      <c r="P889" s="12" t="str">
        <f t="shared" si="157"/>
        <v>Jamicon R-18.0x15.0</v>
      </c>
      <c r="Q889" s="12" t="str">
        <f t="shared" si="162"/>
        <v>1000µF</v>
      </c>
      <c r="R889" s="12" t="str">
        <f t="shared" si="163"/>
        <v>35v</v>
      </c>
      <c r="S889" s="8" t="str">
        <f t="shared" si="158"/>
        <v>1000µF 35v - R18.0-15.0 Jamicon (WL)</v>
      </c>
      <c r="T889" s="8">
        <f t="shared" si="164"/>
        <v>1</v>
      </c>
      <c r="U889" s="8" t="b">
        <f>NOT(ISNA(MATCH($P889,Packages!$A:$A,0)))</f>
        <v>1</v>
      </c>
    </row>
    <row r="890" spans="1:21" hidden="1">
      <c r="A890" s="6" t="s">
        <v>47</v>
      </c>
      <c r="B890" s="6" t="s">
        <v>53</v>
      </c>
      <c r="C890" s="33">
        <v>1200</v>
      </c>
      <c r="D890" s="34">
        <v>35</v>
      </c>
      <c r="E890" s="6" t="s">
        <v>128</v>
      </c>
      <c r="F890" s="6" t="s">
        <v>59</v>
      </c>
      <c r="G890" s="6"/>
      <c r="H890" s="7" t="s">
        <v>141</v>
      </c>
      <c r="I890" s="7" t="str">
        <f t="shared" si="166"/>
        <v>JAMICON</v>
      </c>
      <c r="J890" s="7" t="str">
        <f t="shared" si="167"/>
        <v>1200µF 35v</v>
      </c>
      <c r="K890" s="7"/>
      <c r="L890" s="7" t="str">
        <f t="shared" si="165"/>
        <v>WL</v>
      </c>
      <c r="M890" s="31">
        <f t="shared" si="159"/>
        <v>12.5</v>
      </c>
      <c r="N890" s="31">
        <f t="shared" si="160"/>
        <v>30</v>
      </c>
      <c r="O890" s="8" t="str">
        <f t="shared" si="161"/>
        <v>Jamicon-WL</v>
      </c>
      <c r="P890" s="12" t="str">
        <f t="shared" si="157"/>
        <v>Jamicon R-13.0x30.0</v>
      </c>
      <c r="Q890" s="12" t="str">
        <f t="shared" si="162"/>
        <v>1200µF</v>
      </c>
      <c r="R890" s="12" t="str">
        <f t="shared" si="163"/>
        <v>35v</v>
      </c>
      <c r="S890" s="8" t="str">
        <f t="shared" si="158"/>
        <v>1200µF 35v - R12.5-30.0 Jamicon (WL)</v>
      </c>
      <c r="T890" s="8">
        <f t="shared" si="164"/>
        <v>1</v>
      </c>
      <c r="U890" s="8" t="b">
        <f>NOT(ISNA(MATCH($P890,Packages!$A:$A,0)))</f>
        <v>1</v>
      </c>
    </row>
    <row r="891" spans="1:21" hidden="1">
      <c r="A891" s="6" t="s">
        <v>47</v>
      </c>
      <c r="B891" s="6" t="s">
        <v>53</v>
      </c>
      <c r="C891" s="33">
        <v>1200</v>
      </c>
      <c r="D891" s="34">
        <v>35</v>
      </c>
      <c r="E891" s="6" t="s">
        <v>129</v>
      </c>
      <c r="F891" s="6" t="s">
        <v>59</v>
      </c>
      <c r="G891" s="6"/>
      <c r="H891" s="7" t="s">
        <v>141</v>
      </c>
      <c r="I891" s="7" t="str">
        <f t="shared" si="166"/>
        <v>JAMICON</v>
      </c>
      <c r="J891" s="7" t="str">
        <f t="shared" si="167"/>
        <v>1200µF 35v</v>
      </c>
      <c r="K891" s="7"/>
      <c r="L891" s="7" t="str">
        <f t="shared" si="165"/>
        <v>WL</v>
      </c>
      <c r="M891" s="31">
        <f t="shared" si="159"/>
        <v>16</v>
      </c>
      <c r="N891" s="31">
        <f t="shared" si="160"/>
        <v>20</v>
      </c>
      <c r="O891" s="8" t="str">
        <f t="shared" si="161"/>
        <v>Jamicon-WL</v>
      </c>
      <c r="P891" s="12" t="str">
        <f t="shared" si="157"/>
        <v>Jamicon R-16.0x20.0</v>
      </c>
      <c r="Q891" s="12" t="str">
        <f t="shared" si="162"/>
        <v>1200µF</v>
      </c>
      <c r="R891" s="12" t="str">
        <f t="shared" si="163"/>
        <v>35v</v>
      </c>
      <c r="S891" s="8" t="str">
        <f t="shared" si="158"/>
        <v>1200µF 35v - R16.0-20.0 Jamicon (WL)</v>
      </c>
      <c r="T891" s="8">
        <f t="shared" si="164"/>
        <v>1</v>
      </c>
      <c r="U891" s="8" t="b">
        <f>NOT(ISNA(MATCH($P891,Packages!$A:$A,0)))</f>
        <v>1</v>
      </c>
    </row>
    <row r="892" spans="1:21" hidden="1">
      <c r="A892" s="6" t="s">
        <v>47</v>
      </c>
      <c r="B892" s="6" t="s">
        <v>53</v>
      </c>
      <c r="C892" s="33">
        <v>1500</v>
      </c>
      <c r="D892" s="34">
        <v>35</v>
      </c>
      <c r="E892" s="6" t="s">
        <v>130</v>
      </c>
      <c r="F892" s="6" t="s">
        <v>59</v>
      </c>
      <c r="G892" s="6"/>
      <c r="H892" s="7" t="s">
        <v>141</v>
      </c>
      <c r="I892" s="7" t="str">
        <f t="shared" si="166"/>
        <v>JAMICON</v>
      </c>
      <c r="J892" s="7" t="str">
        <f t="shared" si="167"/>
        <v>1500µF 35v</v>
      </c>
      <c r="K892" s="7"/>
      <c r="L892" s="7" t="str">
        <f t="shared" si="165"/>
        <v>WL</v>
      </c>
      <c r="M892" s="31">
        <f t="shared" si="159"/>
        <v>12.5</v>
      </c>
      <c r="N892" s="31">
        <f t="shared" si="160"/>
        <v>35</v>
      </c>
      <c r="O892" s="8" t="str">
        <f t="shared" si="161"/>
        <v>Jamicon-WL</v>
      </c>
      <c r="P892" s="12" t="str">
        <f t="shared" si="157"/>
        <v>Jamicon R-13.0x35.0</v>
      </c>
      <c r="Q892" s="12" t="str">
        <f t="shared" si="162"/>
        <v>1500µF</v>
      </c>
      <c r="R892" s="12" t="str">
        <f t="shared" si="163"/>
        <v>35v</v>
      </c>
      <c r="S892" s="8" t="str">
        <f t="shared" si="158"/>
        <v>1500µF 35v - R12.5-35.0 Jamicon (WL)</v>
      </c>
      <c r="T892" s="8">
        <f t="shared" si="164"/>
        <v>1</v>
      </c>
      <c r="U892" s="8" t="b">
        <f>NOT(ISNA(MATCH($P892,Packages!$A:$A,0)))</f>
        <v>1</v>
      </c>
    </row>
    <row r="893" spans="1:21" hidden="1">
      <c r="A893" s="6" t="s">
        <v>47</v>
      </c>
      <c r="B893" s="6" t="s">
        <v>53</v>
      </c>
      <c r="C893" s="33">
        <v>1500</v>
      </c>
      <c r="D893" s="34">
        <v>35</v>
      </c>
      <c r="E893" s="6" t="s">
        <v>97</v>
      </c>
      <c r="F893" s="6" t="s">
        <v>59</v>
      </c>
      <c r="G893" s="6"/>
      <c r="H893" s="7" t="s">
        <v>141</v>
      </c>
      <c r="I893" s="7" t="str">
        <f t="shared" si="166"/>
        <v>JAMICON</v>
      </c>
      <c r="J893" s="7" t="str">
        <f t="shared" si="167"/>
        <v>1500µF 35v</v>
      </c>
      <c r="K893" s="7"/>
      <c r="L893" s="7" t="str">
        <f t="shared" si="165"/>
        <v>WL</v>
      </c>
      <c r="M893" s="31">
        <f t="shared" si="159"/>
        <v>16</v>
      </c>
      <c r="N893" s="31">
        <f t="shared" si="160"/>
        <v>25</v>
      </c>
      <c r="O893" s="8" t="str">
        <f t="shared" si="161"/>
        <v>Jamicon-WL</v>
      </c>
      <c r="P893" s="12" t="str">
        <f t="shared" si="157"/>
        <v>Jamicon R-16.0x25.0</v>
      </c>
      <c r="Q893" s="12" t="str">
        <f t="shared" si="162"/>
        <v>1500µF</v>
      </c>
      <c r="R893" s="12" t="str">
        <f t="shared" si="163"/>
        <v>35v</v>
      </c>
      <c r="S893" s="8" t="str">
        <f t="shared" si="158"/>
        <v>1500µF 35v - R16.0-25.0 Jamicon (WL)</v>
      </c>
      <c r="T893" s="8">
        <f t="shared" si="164"/>
        <v>1</v>
      </c>
      <c r="U893" s="8" t="b">
        <f>NOT(ISNA(MATCH($P893,Packages!$A:$A,0)))</f>
        <v>1</v>
      </c>
    </row>
    <row r="894" spans="1:21" hidden="1">
      <c r="A894" s="6" t="s">
        <v>47</v>
      </c>
      <c r="B894" s="6" t="s">
        <v>53</v>
      </c>
      <c r="C894" s="33">
        <v>1800</v>
      </c>
      <c r="D894" s="34">
        <v>35</v>
      </c>
      <c r="E894" s="6" t="s">
        <v>131</v>
      </c>
      <c r="F894" s="6" t="s">
        <v>59</v>
      </c>
      <c r="G894" s="6"/>
      <c r="H894" s="7" t="s">
        <v>141</v>
      </c>
      <c r="I894" s="7" t="str">
        <f t="shared" si="166"/>
        <v>JAMICON</v>
      </c>
      <c r="J894" s="7" t="str">
        <f t="shared" si="167"/>
        <v>1800µF 35v</v>
      </c>
      <c r="K894" s="7"/>
      <c r="L894" s="7" t="str">
        <f t="shared" si="165"/>
        <v>WL</v>
      </c>
      <c r="M894" s="31">
        <f t="shared" si="159"/>
        <v>12.5</v>
      </c>
      <c r="N894" s="31">
        <f t="shared" si="160"/>
        <v>40</v>
      </c>
      <c r="O894" s="8" t="str">
        <f t="shared" si="161"/>
        <v>Jamicon-WL</v>
      </c>
      <c r="P894" s="12" t="str">
        <f t="shared" si="157"/>
        <v>Jamicon R-13.0x40.0</v>
      </c>
      <c r="Q894" s="12" t="str">
        <f t="shared" si="162"/>
        <v>1800µF</v>
      </c>
      <c r="R894" s="12" t="str">
        <f t="shared" si="163"/>
        <v>35v</v>
      </c>
      <c r="S894" s="8" t="str">
        <f t="shared" si="158"/>
        <v>1800µF 35v - R12.5-40.0 Jamicon (WL)</v>
      </c>
      <c r="T894" s="8">
        <f t="shared" si="164"/>
        <v>1</v>
      </c>
      <c r="U894" s="8" t="b">
        <f>NOT(ISNA(MATCH($P894,Packages!$A:$A,0)))</f>
        <v>1</v>
      </c>
    </row>
    <row r="895" spans="1:21" hidden="1">
      <c r="A895" s="6" t="s">
        <v>47</v>
      </c>
      <c r="B895" s="6" t="s">
        <v>53</v>
      </c>
      <c r="C895" s="33">
        <v>1800</v>
      </c>
      <c r="D895" s="34">
        <v>35</v>
      </c>
      <c r="E895" s="6" t="s">
        <v>132</v>
      </c>
      <c r="F895" s="6" t="s">
        <v>59</v>
      </c>
      <c r="G895" s="6"/>
      <c r="H895" s="7" t="s">
        <v>141</v>
      </c>
      <c r="I895" s="7" t="str">
        <f t="shared" si="166"/>
        <v>JAMICON</v>
      </c>
      <c r="J895" s="7" t="str">
        <f t="shared" si="167"/>
        <v>1800µF 35v</v>
      </c>
      <c r="K895" s="7"/>
      <c r="L895" s="7" t="str">
        <f t="shared" si="165"/>
        <v>WL</v>
      </c>
      <c r="M895" s="31">
        <f t="shared" si="159"/>
        <v>18</v>
      </c>
      <c r="N895" s="31">
        <f t="shared" si="160"/>
        <v>20</v>
      </c>
      <c r="O895" s="8" t="str">
        <f t="shared" si="161"/>
        <v>Jamicon-WL</v>
      </c>
      <c r="P895" s="12" t="str">
        <f t="shared" si="157"/>
        <v>Jamicon R-18.0x20.0</v>
      </c>
      <c r="Q895" s="12" t="str">
        <f t="shared" si="162"/>
        <v>1800µF</v>
      </c>
      <c r="R895" s="12" t="str">
        <f t="shared" si="163"/>
        <v>35v</v>
      </c>
      <c r="S895" s="8" t="str">
        <f t="shared" si="158"/>
        <v>1800µF 35v - R18.0-20.0 Jamicon (WL)</v>
      </c>
      <c r="T895" s="8">
        <f t="shared" si="164"/>
        <v>1</v>
      </c>
      <c r="U895" s="8" t="b">
        <f>NOT(ISNA(MATCH($P895,Packages!$A:$A,0)))</f>
        <v>1</v>
      </c>
    </row>
    <row r="896" spans="1:21" hidden="1">
      <c r="A896" s="6" t="s">
        <v>47</v>
      </c>
      <c r="B896" s="6" t="s">
        <v>53</v>
      </c>
      <c r="C896" s="33">
        <v>2200</v>
      </c>
      <c r="D896" s="34">
        <v>35</v>
      </c>
      <c r="E896" s="6" t="s">
        <v>98</v>
      </c>
      <c r="F896" s="6" t="s">
        <v>59</v>
      </c>
      <c r="G896" s="6"/>
      <c r="H896" s="7" t="s">
        <v>141</v>
      </c>
      <c r="I896" s="7" t="str">
        <f t="shared" si="166"/>
        <v>JAMICON</v>
      </c>
      <c r="J896" s="7" t="str">
        <f t="shared" si="167"/>
        <v>2200µF 35v</v>
      </c>
      <c r="K896" s="7"/>
      <c r="L896" s="7" t="str">
        <f t="shared" si="165"/>
        <v>WL</v>
      </c>
      <c r="M896" s="31">
        <f t="shared" si="159"/>
        <v>16</v>
      </c>
      <c r="N896" s="31">
        <f t="shared" si="160"/>
        <v>31.5</v>
      </c>
      <c r="O896" s="8" t="str">
        <f t="shared" si="161"/>
        <v>Jamicon-WL</v>
      </c>
      <c r="P896" s="12" t="str">
        <f t="shared" si="157"/>
        <v>Jamicon R-16.0x32.0</v>
      </c>
      <c r="Q896" s="12" t="str">
        <f t="shared" si="162"/>
        <v>2200µF</v>
      </c>
      <c r="R896" s="12" t="str">
        <f t="shared" si="163"/>
        <v>35v</v>
      </c>
      <c r="S896" s="8" t="str">
        <f t="shared" si="158"/>
        <v>2200µF 35v - R16.0-31.5 Jamicon (WL)</v>
      </c>
      <c r="T896" s="8">
        <f t="shared" si="164"/>
        <v>1</v>
      </c>
      <c r="U896" s="8" t="b">
        <f>NOT(ISNA(MATCH($P896,Packages!$A:$A,0)))</f>
        <v>1</v>
      </c>
    </row>
    <row r="897" spans="1:21" hidden="1">
      <c r="A897" s="6" t="s">
        <v>47</v>
      </c>
      <c r="B897" s="6" t="s">
        <v>53</v>
      </c>
      <c r="C897" s="33">
        <v>2200</v>
      </c>
      <c r="D897" s="34">
        <v>35</v>
      </c>
      <c r="E897" s="6" t="s">
        <v>133</v>
      </c>
      <c r="F897" s="6" t="s">
        <v>59</v>
      </c>
      <c r="G897" s="6"/>
      <c r="H897" s="7" t="s">
        <v>141</v>
      </c>
      <c r="I897" s="7" t="str">
        <f t="shared" si="166"/>
        <v>JAMICON</v>
      </c>
      <c r="J897" s="7" t="str">
        <f t="shared" si="167"/>
        <v>2200µF 35v</v>
      </c>
      <c r="K897" s="7"/>
      <c r="L897" s="7" t="str">
        <f t="shared" si="165"/>
        <v>WL</v>
      </c>
      <c r="M897" s="31">
        <f t="shared" si="159"/>
        <v>18</v>
      </c>
      <c r="N897" s="31">
        <f t="shared" si="160"/>
        <v>25</v>
      </c>
      <c r="O897" s="8" t="str">
        <f t="shared" si="161"/>
        <v>Jamicon-WL</v>
      </c>
      <c r="P897" s="12" t="str">
        <f t="shared" si="157"/>
        <v>Jamicon R-18.0x25.0</v>
      </c>
      <c r="Q897" s="12" t="str">
        <f t="shared" si="162"/>
        <v>2200µF</v>
      </c>
      <c r="R897" s="12" t="str">
        <f t="shared" si="163"/>
        <v>35v</v>
      </c>
      <c r="S897" s="8" t="str">
        <f t="shared" si="158"/>
        <v>2200µF 35v - R18.0-25.0 Jamicon (WL)</v>
      </c>
      <c r="T897" s="8">
        <f t="shared" si="164"/>
        <v>1</v>
      </c>
      <c r="U897" s="8" t="b">
        <f>NOT(ISNA(MATCH($P897,Packages!$A:$A,0)))</f>
        <v>1</v>
      </c>
    </row>
    <row r="898" spans="1:21" hidden="1">
      <c r="A898" s="6" t="s">
        <v>47</v>
      </c>
      <c r="B898" s="6" t="s">
        <v>53</v>
      </c>
      <c r="C898" s="33">
        <v>0.47</v>
      </c>
      <c r="D898" s="34">
        <v>50</v>
      </c>
      <c r="E898" s="6" t="s">
        <v>68</v>
      </c>
      <c r="F898" s="6" t="s">
        <v>59</v>
      </c>
      <c r="G898" s="6"/>
      <c r="H898" s="7" t="s">
        <v>141</v>
      </c>
      <c r="I898" s="7" t="str">
        <f t="shared" si="166"/>
        <v>JAMICON</v>
      </c>
      <c r="J898" s="7" t="str">
        <f t="shared" si="167"/>
        <v>0.47µF 50v</v>
      </c>
      <c r="K898" s="7"/>
      <c r="L898" s="7" t="str">
        <f t="shared" si="165"/>
        <v>WL</v>
      </c>
      <c r="M898" s="31">
        <f t="shared" si="159"/>
        <v>5</v>
      </c>
      <c r="N898" s="31">
        <f t="shared" si="160"/>
        <v>11</v>
      </c>
      <c r="O898" s="8" t="str">
        <f t="shared" si="161"/>
        <v>Jamicon-WL</v>
      </c>
      <c r="P898" s="12" t="str">
        <f t="shared" ref="P898:P961" si="168">$A898&amp;" "&amp;LEFT($F898,1)&amp;"-"&amp;TEXT(ROUND($M898,0),"00.0")&amp;"x"&amp;TEXT(ROUND($N898,0),"00.0")</f>
        <v>Jamicon R-05.0x11.0</v>
      </c>
      <c r="Q898" s="12" t="str">
        <f t="shared" si="162"/>
        <v>0.47µF</v>
      </c>
      <c r="R898" s="12" t="str">
        <f t="shared" si="163"/>
        <v>50v</v>
      </c>
      <c r="S898" s="8" t="str">
        <f t="shared" ref="S898:S961" si="169">$Q898&amp;" "&amp;$R898&amp;" - "&amp;LEFT($F898,1)&amp;TEXT($M898,"00.0")&amp;"-"&amp;TEXT($N898,"00.0")&amp;" "&amp;A898&amp;" ("&amp;B898&amp;")"&amp;IF(ISBLANK($G898),""," "&amp;$G898)</f>
        <v>0.47µF 50v - R05.0-11.0 Jamicon (WL)</v>
      </c>
      <c r="T898" s="8">
        <f t="shared" si="164"/>
        <v>1</v>
      </c>
      <c r="U898" s="8" t="b">
        <f>NOT(ISNA(MATCH($P898,Packages!$A:$A,0)))</f>
        <v>1</v>
      </c>
    </row>
    <row r="899" spans="1:21" hidden="1">
      <c r="A899" s="6" t="s">
        <v>47</v>
      </c>
      <c r="B899" s="6" t="s">
        <v>53</v>
      </c>
      <c r="C899" s="33">
        <v>1</v>
      </c>
      <c r="D899" s="34">
        <v>50</v>
      </c>
      <c r="E899" s="6" t="s">
        <v>68</v>
      </c>
      <c r="F899" s="6" t="s">
        <v>59</v>
      </c>
      <c r="G899" s="6"/>
      <c r="H899" s="7" t="s">
        <v>141</v>
      </c>
      <c r="I899" s="7" t="str">
        <f t="shared" si="166"/>
        <v>JAMICON</v>
      </c>
      <c r="J899" s="7" t="str">
        <f t="shared" si="167"/>
        <v>1µF 50v</v>
      </c>
      <c r="K899" s="7"/>
      <c r="L899" s="7" t="str">
        <f t="shared" si="165"/>
        <v>WL</v>
      </c>
      <c r="M899" s="31">
        <f t="shared" ref="M899:M962" si="170">VALUE(LEFT($E899,SEARCH("x",$E899)-1))</f>
        <v>5</v>
      </c>
      <c r="N899" s="31">
        <f t="shared" ref="N899:N962" si="171">VALUE(RIGHT($E899,LEN($E899)-SEARCH("x",$E899)))</f>
        <v>11</v>
      </c>
      <c r="O899" s="8" t="str">
        <f t="shared" ref="O899:O962" si="172">$A899&amp;"-"&amp;$B899</f>
        <v>Jamicon-WL</v>
      </c>
      <c r="P899" s="12" t="str">
        <f t="shared" si="168"/>
        <v>Jamicon R-05.0x11.0</v>
      </c>
      <c r="Q899" s="12" t="str">
        <f t="shared" ref="Q899:Q962" si="173">TEXT($C899,"General"&amp;CHAR(34)&amp;"µF"&amp;CHAR(34))</f>
        <v>1µF</v>
      </c>
      <c r="R899" s="12" t="str">
        <f t="shared" ref="R899:R962" si="174">TEXT($D899,"General"&amp;CHAR(34)&amp;"v"&amp;CHAR(34))</f>
        <v>50v</v>
      </c>
      <c r="S899" s="8" t="str">
        <f t="shared" si="169"/>
        <v>1µF 50v - R05.0-11.0 Jamicon (WL)</v>
      </c>
      <c r="T899" s="8">
        <f t="shared" ref="T899:T962" si="175">COUNTIF($S:$S,$S899)</f>
        <v>1</v>
      </c>
      <c r="U899" s="8" t="b">
        <f>NOT(ISNA(MATCH($P899,Packages!$A:$A,0)))</f>
        <v>1</v>
      </c>
    </row>
    <row r="900" spans="1:21" hidden="1">
      <c r="A900" s="6" t="s">
        <v>47</v>
      </c>
      <c r="B900" s="6" t="s">
        <v>53</v>
      </c>
      <c r="C900" s="33">
        <v>2.2000000000000002</v>
      </c>
      <c r="D900" s="34">
        <v>50</v>
      </c>
      <c r="E900" s="6" t="s">
        <v>68</v>
      </c>
      <c r="F900" s="6" t="s">
        <v>59</v>
      </c>
      <c r="G900" s="6"/>
      <c r="H900" s="7" t="s">
        <v>141</v>
      </c>
      <c r="I900" s="7" t="str">
        <f t="shared" si="166"/>
        <v>JAMICON</v>
      </c>
      <c r="J900" s="7" t="str">
        <f t="shared" si="167"/>
        <v>2.2µF 50v</v>
      </c>
      <c r="K900" s="7"/>
      <c r="L900" s="7" t="str">
        <f t="shared" si="165"/>
        <v>WL</v>
      </c>
      <c r="M900" s="31">
        <f t="shared" si="170"/>
        <v>5</v>
      </c>
      <c r="N900" s="31">
        <f t="shared" si="171"/>
        <v>11</v>
      </c>
      <c r="O900" s="8" t="str">
        <f t="shared" si="172"/>
        <v>Jamicon-WL</v>
      </c>
      <c r="P900" s="12" t="str">
        <f t="shared" si="168"/>
        <v>Jamicon R-05.0x11.0</v>
      </c>
      <c r="Q900" s="12" t="str">
        <f t="shared" si="173"/>
        <v>2.2µF</v>
      </c>
      <c r="R900" s="12" t="str">
        <f t="shared" si="174"/>
        <v>50v</v>
      </c>
      <c r="S900" s="8" t="str">
        <f t="shared" si="169"/>
        <v>2.2µF 50v - R05.0-11.0 Jamicon (WL)</v>
      </c>
      <c r="T900" s="8">
        <f t="shared" si="175"/>
        <v>1</v>
      </c>
      <c r="U900" s="8" t="b">
        <f>NOT(ISNA(MATCH($P900,Packages!$A:$A,0)))</f>
        <v>1</v>
      </c>
    </row>
    <row r="901" spans="1:21" hidden="1">
      <c r="A901" s="6" t="s">
        <v>47</v>
      </c>
      <c r="B901" s="6" t="s">
        <v>53</v>
      </c>
      <c r="C901" s="33">
        <v>3.3</v>
      </c>
      <c r="D901" s="34">
        <v>50</v>
      </c>
      <c r="E901" s="6" t="s">
        <v>68</v>
      </c>
      <c r="F901" s="6" t="s">
        <v>59</v>
      </c>
      <c r="G901" s="6"/>
      <c r="H901" s="7" t="s">
        <v>141</v>
      </c>
      <c r="I901" s="7" t="str">
        <f t="shared" si="166"/>
        <v>JAMICON</v>
      </c>
      <c r="J901" s="7" t="str">
        <f t="shared" si="167"/>
        <v>3.3µF 50v</v>
      </c>
      <c r="K901" s="7"/>
      <c r="L901" s="7" t="str">
        <f t="shared" si="165"/>
        <v>WL</v>
      </c>
      <c r="M901" s="31">
        <f t="shared" si="170"/>
        <v>5</v>
      </c>
      <c r="N901" s="31">
        <f t="shared" si="171"/>
        <v>11</v>
      </c>
      <c r="O901" s="8" t="str">
        <f t="shared" si="172"/>
        <v>Jamicon-WL</v>
      </c>
      <c r="P901" s="12" t="str">
        <f t="shared" si="168"/>
        <v>Jamicon R-05.0x11.0</v>
      </c>
      <c r="Q901" s="12" t="str">
        <f t="shared" si="173"/>
        <v>3.3µF</v>
      </c>
      <c r="R901" s="12" t="str">
        <f t="shared" si="174"/>
        <v>50v</v>
      </c>
      <c r="S901" s="8" t="str">
        <f t="shared" si="169"/>
        <v>3.3µF 50v - R05.0-11.0 Jamicon (WL)</v>
      </c>
      <c r="T901" s="8">
        <f t="shared" si="175"/>
        <v>1</v>
      </c>
      <c r="U901" s="8" t="b">
        <f>NOT(ISNA(MATCH($P901,Packages!$A:$A,0)))</f>
        <v>1</v>
      </c>
    </row>
    <row r="902" spans="1:21" hidden="1">
      <c r="A902" s="6" t="s">
        <v>47</v>
      </c>
      <c r="B902" s="6" t="s">
        <v>53</v>
      </c>
      <c r="C902" s="33">
        <v>4.7</v>
      </c>
      <c r="D902" s="34">
        <v>50</v>
      </c>
      <c r="E902" s="6" t="s">
        <v>68</v>
      </c>
      <c r="F902" s="6" t="s">
        <v>59</v>
      </c>
      <c r="G902" s="6"/>
      <c r="H902" s="7" t="s">
        <v>141</v>
      </c>
      <c r="I902" s="7" t="str">
        <f t="shared" si="166"/>
        <v>JAMICON</v>
      </c>
      <c r="J902" s="7" t="str">
        <f t="shared" si="167"/>
        <v>4.7µF 50v</v>
      </c>
      <c r="K902" s="7"/>
      <c r="L902" s="7" t="str">
        <f t="shared" si="165"/>
        <v>WL</v>
      </c>
      <c r="M902" s="31">
        <f t="shared" si="170"/>
        <v>5</v>
      </c>
      <c r="N902" s="31">
        <f t="shared" si="171"/>
        <v>11</v>
      </c>
      <c r="O902" s="8" t="str">
        <f t="shared" si="172"/>
        <v>Jamicon-WL</v>
      </c>
      <c r="P902" s="12" t="str">
        <f t="shared" si="168"/>
        <v>Jamicon R-05.0x11.0</v>
      </c>
      <c r="Q902" s="12" t="str">
        <f t="shared" si="173"/>
        <v>4.7µF</v>
      </c>
      <c r="R902" s="12" t="str">
        <f t="shared" si="174"/>
        <v>50v</v>
      </c>
      <c r="S902" s="8" t="str">
        <f t="shared" si="169"/>
        <v>4.7µF 50v - R05.0-11.0 Jamicon (WL)</v>
      </c>
      <c r="T902" s="8">
        <f t="shared" si="175"/>
        <v>1</v>
      </c>
      <c r="U902" s="8" t="b">
        <f>NOT(ISNA(MATCH($P902,Packages!$A:$A,0)))</f>
        <v>1</v>
      </c>
    </row>
    <row r="903" spans="1:21" hidden="1">
      <c r="A903" s="6" t="s">
        <v>47</v>
      </c>
      <c r="B903" s="6" t="s">
        <v>53</v>
      </c>
      <c r="C903" s="33">
        <v>6.8</v>
      </c>
      <c r="D903" s="34">
        <v>50</v>
      </c>
      <c r="E903" s="6" t="s">
        <v>68</v>
      </c>
      <c r="F903" s="6" t="s">
        <v>59</v>
      </c>
      <c r="G903" s="6"/>
      <c r="H903" s="7" t="s">
        <v>141</v>
      </c>
      <c r="I903" s="7" t="str">
        <f t="shared" si="166"/>
        <v>JAMICON</v>
      </c>
      <c r="J903" s="7" t="str">
        <f t="shared" si="167"/>
        <v>6.8µF 50v</v>
      </c>
      <c r="K903" s="7"/>
      <c r="L903" s="7" t="str">
        <f t="shared" si="165"/>
        <v>WL</v>
      </c>
      <c r="M903" s="31">
        <f t="shared" si="170"/>
        <v>5</v>
      </c>
      <c r="N903" s="31">
        <f t="shared" si="171"/>
        <v>11</v>
      </c>
      <c r="O903" s="8" t="str">
        <f t="shared" si="172"/>
        <v>Jamicon-WL</v>
      </c>
      <c r="P903" s="12" t="str">
        <f t="shared" si="168"/>
        <v>Jamicon R-05.0x11.0</v>
      </c>
      <c r="Q903" s="12" t="str">
        <f t="shared" si="173"/>
        <v>6.8µF</v>
      </c>
      <c r="R903" s="12" t="str">
        <f t="shared" si="174"/>
        <v>50v</v>
      </c>
      <c r="S903" s="8" t="str">
        <f t="shared" si="169"/>
        <v>6.8µF 50v - R05.0-11.0 Jamicon (WL)</v>
      </c>
      <c r="T903" s="8">
        <f t="shared" si="175"/>
        <v>1</v>
      </c>
      <c r="U903" s="8" t="b">
        <f>NOT(ISNA(MATCH($P903,Packages!$A:$A,0)))</f>
        <v>1</v>
      </c>
    </row>
    <row r="904" spans="1:21" hidden="1">
      <c r="A904" s="6" t="s">
        <v>47</v>
      </c>
      <c r="B904" s="6" t="s">
        <v>53</v>
      </c>
      <c r="C904" s="33">
        <v>10</v>
      </c>
      <c r="D904" s="34">
        <v>50</v>
      </c>
      <c r="E904" s="6" t="s">
        <v>68</v>
      </c>
      <c r="F904" s="6" t="s">
        <v>59</v>
      </c>
      <c r="G904" s="6"/>
      <c r="H904" s="7" t="s">
        <v>141</v>
      </c>
      <c r="I904" s="7" t="str">
        <f t="shared" si="166"/>
        <v>JAMICON</v>
      </c>
      <c r="J904" s="7" t="str">
        <f t="shared" si="167"/>
        <v>10µF 50v</v>
      </c>
      <c r="K904" s="7"/>
      <c r="L904" s="7" t="str">
        <f t="shared" si="165"/>
        <v>WL</v>
      </c>
      <c r="M904" s="31">
        <f t="shared" si="170"/>
        <v>5</v>
      </c>
      <c r="N904" s="31">
        <f t="shared" si="171"/>
        <v>11</v>
      </c>
      <c r="O904" s="8" t="str">
        <f t="shared" si="172"/>
        <v>Jamicon-WL</v>
      </c>
      <c r="P904" s="12" t="str">
        <f t="shared" si="168"/>
        <v>Jamicon R-05.0x11.0</v>
      </c>
      <c r="Q904" s="12" t="str">
        <f t="shared" si="173"/>
        <v>10µF</v>
      </c>
      <c r="R904" s="12" t="str">
        <f t="shared" si="174"/>
        <v>50v</v>
      </c>
      <c r="S904" s="8" t="str">
        <f t="shared" si="169"/>
        <v>10µF 50v - R05.0-11.0 Jamicon (WL)</v>
      </c>
      <c r="T904" s="8">
        <f t="shared" si="175"/>
        <v>1</v>
      </c>
      <c r="U904" s="8" t="b">
        <f>NOT(ISNA(MATCH($P904,Packages!$A:$A,0)))</f>
        <v>1</v>
      </c>
    </row>
    <row r="905" spans="1:21" hidden="1">
      <c r="A905" s="6" t="s">
        <v>47</v>
      </c>
      <c r="B905" s="6" t="s">
        <v>53</v>
      </c>
      <c r="C905" s="33">
        <v>15</v>
      </c>
      <c r="D905" s="34">
        <v>50</v>
      </c>
      <c r="E905" s="6" t="s">
        <v>68</v>
      </c>
      <c r="F905" s="6" t="s">
        <v>59</v>
      </c>
      <c r="G905" s="6"/>
      <c r="H905" s="7" t="s">
        <v>141</v>
      </c>
      <c r="I905" s="7" t="str">
        <f t="shared" si="166"/>
        <v>JAMICON</v>
      </c>
      <c r="J905" s="7" t="str">
        <f t="shared" si="167"/>
        <v>15µF 50v</v>
      </c>
      <c r="K905" s="7"/>
      <c r="L905" s="7" t="str">
        <f t="shared" si="165"/>
        <v>WL</v>
      </c>
      <c r="M905" s="31">
        <f t="shared" si="170"/>
        <v>5</v>
      </c>
      <c r="N905" s="31">
        <f t="shared" si="171"/>
        <v>11</v>
      </c>
      <c r="O905" s="8" t="str">
        <f t="shared" si="172"/>
        <v>Jamicon-WL</v>
      </c>
      <c r="P905" s="12" t="str">
        <f t="shared" si="168"/>
        <v>Jamicon R-05.0x11.0</v>
      </c>
      <c r="Q905" s="12" t="str">
        <f t="shared" si="173"/>
        <v>15µF</v>
      </c>
      <c r="R905" s="12" t="str">
        <f t="shared" si="174"/>
        <v>50v</v>
      </c>
      <c r="S905" s="8" t="str">
        <f t="shared" si="169"/>
        <v>15µF 50v - R05.0-11.0 Jamicon (WL)</v>
      </c>
      <c r="T905" s="8">
        <f t="shared" si="175"/>
        <v>1</v>
      </c>
      <c r="U905" s="8" t="b">
        <f>NOT(ISNA(MATCH($P905,Packages!$A:$A,0)))</f>
        <v>1</v>
      </c>
    </row>
    <row r="906" spans="1:21" hidden="1">
      <c r="A906" s="6" t="s">
        <v>47</v>
      </c>
      <c r="B906" s="6" t="s">
        <v>53</v>
      </c>
      <c r="C906" s="33">
        <v>18</v>
      </c>
      <c r="D906" s="34">
        <v>50</v>
      </c>
      <c r="E906" s="6" t="s">
        <v>68</v>
      </c>
      <c r="F906" s="6" t="s">
        <v>59</v>
      </c>
      <c r="G906" s="6"/>
      <c r="H906" s="7" t="s">
        <v>141</v>
      </c>
      <c r="I906" s="7" t="str">
        <f t="shared" si="166"/>
        <v>JAMICON</v>
      </c>
      <c r="J906" s="7" t="str">
        <f t="shared" si="167"/>
        <v>18µF 50v</v>
      </c>
      <c r="K906" s="7"/>
      <c r="L906" s="7" t="str">
        <f t="shared" si="165"/>
        <v>WL</v>
      </c>
      <c r="M906" s="31">
        <f t="shared" si="170"/>
        <v>5</v>
      </c>
      <c r="N906" s="31">
        <f t="shared" si="171"/>
        <v>11</v>
      </c>
      <c r="O906" s="8" t="str">
        <f t="shared" si="172"/>
        <v>Jamicon-WL</v>
      </c>
      <c r="P906" s="12" t="str">
        <f t="shared" si="168"/>
        <v>Jamicon R-05.0x11.0</v>
      </c>
      <c r="Q906" s="12" t="str">
        <f t="shared" si="173"/>
        <v>18µF</v>
      </c>
      <c r="R906" s="12" t="str">
        <f t="shared" si="174"/>
        <v>50v</v>
      </c>
      <c r="S906" s="8" t="str">
        <f t="shared" si="169"/>
        <v>18µF 50v - R05.0-11.0 Jamicon (WL)</v>
      </c>
      <c r="T906" s="8">
        <f t="shared" si="175"/>
        <v>1</v>
      </c>
      <c r="U906" s="8" t="b">
        <f>NOT(ISNA(MATCH($P906,Packages!$A:$A,0)))</f>
        <v>1</v>
      </c>
    </row>
    <row r="907" spans="1:21" hidden="1">
      <c r="A907" s="6" t="s">
        <v>47</v>
      </c>
      <c r="B907" s="6" t="s">
        <v>53</v>
      </c>
      <c r="C907" s="33">
        <v>22</v>
      </c>
      <c r="D907" s="34">
        <v>50</v>
      </c>
      <c r="E907" s="6" t="s">
        <v>68</v>
      </c>
      <c r="F907" s="6" t="s">
        <v>59</v>
      </c>
      <c r="G907" s="6"/>
      <c r="H907" s="7" t="s">
        <v>141</v>
      </c>
      <c r="I907" s="7" t="str">
        <f t="shared" si="166"/>
        <v>JAMICON</v>
      </c>
      <c r="J907" s="7" t="str">
        <f t="shared" si="167"/>
        <v>22µF 50v</v>
      </c>
      <c r="K907" s="7"/>
      <c r="L907" s="7" t="str">
        <f t="shared" si="165"/>
        <v>WL</v>
      </c>
      <c r="M907" s="31">
        <f t="shared" si="170"/>
        <v>5</v>
      </c>
      <c r="N907" s="31">
        <f t="shared" si="171"/>
        <v>11</v>
      </c>
      <c r="O907" s="8" t="str">
        <f t="shared" si="172"/>
        <v>Jamicon-WL</v>
      </c>
      <c r="P907" s="12" t="str">
        <f t="shared" si="168"/>
        <v>Jamicon R-05.0x11.0</v>
      </c>
      <c r="Q907" s="12" t="str">
        <f t="shared" si="173"/>
        <v>22µF</v>
      </c>
      <c r="R907" s="12" t="str">
        <f t="shared" si="174"/>
        <v>50v</v>
      </c>
      <c r="S907" s="8" t="str">
        <f t="shared" si="169"/>
        <v>22µF 50v - R05.0-11.0 Jamicon (WL)</v>
      </c>
      <c r="T907" s="8">
        <f t="shared" si="175"/>
        <v>1</v>
      </c>
      <c r="U907" s="8" t="b">
        <f>NOT(ISNA(MATCH($P907,Packages!$A:$A,0)))</f>
        <v>1</v>
      </c>
    </row>
    <row r="908" spans="1:21" hidden="1">
      <c r="A908" s="6" t="s">
        <v>47</v>
      </c>
      <c r="B908" s="6" t="s">
        <v>53</v>
      </c>
      <c r="C908" s="33">
        <v>27</v>
      </c>
      <c r="D908" s="34">
        <v>50</v>
      </c>
      <c r="E908" s="6" t="s">
        <v>68</v>
      </c>
      <c r="F908" s="6" t="s">
        <v>59</v>
      </c>
      <c r="G908" s="6"/>
      <c r="H908" s="7" t="s">
        <v>141</v>
      </c>
      <c r="I908" s="7" t="str">
        <f t="shared" si="166"/>
        <v>JAMICON</v>
      </c>
      <c r="J908" s="7" t="str">
        <f t="shared" si="167"/>
        <v>27µF 50v</v>
      </c>
      <c r="K908" s="7"/>
      <c r="L908" s="7" t="str">
        <f t="shared" si="165"/>
        <v>WL</v>
      </c>
      <c r="M908" s="31">
        <f t="shared" si="170"/>
        <v>5</v>
      </c>
      <c r="N908" s="31">
        <f t="shared" si="171"/>
        <v>11</v>
      </c>
      <c r="O908" s="8" t="str">
        <f t="shared" si="172"/>
        <v>Jamicon-WL</v>
      </c>
      <c r="P908" s="12" t="str">
        <f t="shared" si="168"/>
        <v>Jamicon R-05.0x11.0</v>
      </c>
      <c r="Q908" s="12" t="str">
        <f t="shared" si="173"/>
        <v>27µF</v>
      </c>
      <c r="R908" s="12" t="str">
        <f t="shared" si="174"/>
        <v>50v</v>
      </c>
      <c r="S908" s="8" t="str">
        <f t="shared" si="169"/>
        <v>27µF 50v - R05.0-11.0 Jamicon (WL)</v>
      </c>
      <c r="T908" s="8">
        <f t="shared" si="175"/>
        <v>1</v>
      </c>
      <c r="U908" s="8" t="b">
        <f>NOT(ISNA(MATCH($P908,Packages!$A:$A,0)))</f>
        <v>1</v>
      </c>
    </row>
    <row r="909" spans="1:21" hidden="1">
      <c r="A909" s="6" t="s">
        <v>47</v>
      </c>
      <c r="B909" s="6" t="s">
        <v>53</v>
      </c>
      <c r="C909" s="33">
        <v>33</v>
      </c>
      <c r="D909" s="34">
        <v>50</v>
      </c>
      <c r="E909" s="6" t="s">
        <v>68</v>
      </c>
      <c r="F909" s="6" t="s">
        <v>59</v>
      </c>
      <c r="G909" s="6"/>
      <c r="H909" s="7" t="s">
        <v>141</v>
      </c>
      <c r="I909" s="7" t="str">
        <f t="shared" si="166"/>
        <v>JAMICON</v>
      </c>
      <c r="J909" s="7" t="str">
        <f t="shared" si="167"/>
        <v>33µF 50v</v>
      </c>
      <c r="K909" s="7"/>
      <c r="L909" s="7" t="str">
        <f t="shared" si="165"/>
        <v>WL</v>
      </c>
      <c r="M909" s="31">
        <f t="shared" si="170"/>
        <v>5</v>
      </c>
      <c r="N909" s="31">
        <f t="shared" si="171"/>
        <v>11</v>
      </c>
      <c r="O909" s="8" t="str">
        <f t="shared" si="172"/>
        <v>Jamicon-WL</v>
      </c>
      <c r="P909" s="12" t="str">
        <f t="shared" si="168"/>
        <v>Jamicon R-05.0x11.0</v>
      </c>
      <c r="Q909" s="12" t="str">
        <f t="shared" si="173"/>
        <v>33µF</v>
      </c>
      <c r="R909" s="12" t="str">
        <f t="shared" si="174"/>
        <v>50v</v>
      </c>
      <c r="S909" s="8" t="str">
        <f t="shared" si="169"/>
        <v>33µF 50v - R05.0-11.0 Jamicon (WL)</v>
      </c>
      <c r="T909" s="8">
        <f t="shared" si="175"/>
        <v>1</v>
      </c>
      <c r="U909" s="8" t="b">
        <f>NOT(ISNA(MATCH($P909,Packages!$A:$A,0)))</f>
        <v>1</v>
      </c>
    </row>
    <row r="910" spans="1:21" hidden="1">
      <c r="A910" s="6" t="s">
        <v>47</v>
      </c>
      <c r="B910" s="6" t="s">
        <v>53</v>
      </c>
      <c r="C910" s="33">
        <v>39</v>
      </c>
      <c r="D910" s="34">
        <v>50</v>
      </c>
      <c r="E910" s="6" t="s">
        <v>118</v>
      </c>
      <c r="F910" s="6" t="s">
        <v>59</v>
      </c>
      <c r="G910" s="6"/>
      <c r="H910" s="7" t="s">
        <v>141</v>
      </c>
      <c r="I910" s="7" t="str">
        <f t="shared" si="166"/>
        <v>JAMICON</v>
      </c>
      <c r="J910" s="7" t="str">
        <f t="shared" si="167"/>
        <v>39µF 50v</v>
      </c>
      <c r="K910" s="7"/>
      <c r="L910" s="7" t="str">
        <f t="shared" si="165"/>
        <v>WL</v>
      </c>
      <c r="M910" s="31">
        <f t="shared" si="170"/>
        <v>5</v>
      </c>
      <c r="N910" s="31">
        <f t="shared" si="171"/>
        <v>15</v>
      </c>
      <c r="O910" s="8" t="str">
        <f t="shared" si="172"/>
        <v>Jamicon-WL</v>
      </c>
      <c r="P910" s="12" t="str">
        <f t="shared" si="168"/>
        <v>Jamicon R-05.0x15.0</v>
      </c>
      <c r="Q910" s="12" t="str">
        <f t="shared" si="173"/>
        <v>39µF</v>
      </c>
      <c r="R910" s="12" t="str">
        <f t="shared" si="174"/>
        <v>50v</v>
      </c>
      <c r="S910" s="8" t="str">
        <f t="shared" si="169"/>
        <v>39µF 50v - R05.0-15.0 Jamicon (WL)</v>
      </c>
      <c r="T910" s="8">
        <f t="shared" si="175"/>
        <v>1</v>
      </c>
      <c r="U910" s="8" t="b">
        <f>NOT(ISNA(MATCH($P910,Packages!$A:$A,0)))</f>
        <v>1</v>
      </c>
    </row>
    <row r="911" spans="1:21" hidden="1">
      <c r="A911" s="6" t="s">
        <v>47</v>
      </c>
      <c r="B911" s="6" t="s">
        <v>53</v>
      </c>
      <c r="C911" s="33">
        <v>39</v>
      </c>
      <c r="D911" s="34">
        <v>50</v>
      </c>
      <c r="E911" s="6" t="s">
        <v>69</v>
      </c>
      <c r="F911" s="6" t="s">
        <v>59</v>
      </c>
      <c r="G911" s="6"/>
      <c r="H911" s="7" t="s">
        <v>141</v>
      </c>
      <c r="I911" s="7" t="str">
        <f t="shared" si="166"/>
        <v>JAMICON</v>
      </c>
      <c r="J911" s="7" t="str">
        <f t="shared" si="167"/>
        <v>39µF 50v</v>
      </c>
      <c r="K911" s="7"/>
      <c r="L911" s="7" t="str">
        <f t="shared" si="165"/>
        <v>WL</v>
      </c>
      <c r="M911" s="31">
        <f t="shared" si="170"/>
        <v>6.3</v>
      </c>
      <c r="N911" s="31">
        <f t="shared" si="171"/>
        <v>11</v>
      </c>
      <c r="O911" s="8" t="str">
        <f t="shared" si="172"/>
        <v>Jamicon-WL</v>
      </c>
      <c r="P911" s="12" t="str">
        <f t="shared" si="168"/>
        <v>Jamicon R-06.0x11.0</v>
      </c>
      <c r="Q911" s="12" t="str">
        <f t="shared" si="173"/>
        <v>39µF</v>
      </c>
      <c r="R911" s="12" t="str">
        <f t="shared" si="174"/>
        <v>50v</v>
      </c>
      <c r="S911" s="8" t="str">
        <f t="shared" si="169"/>
        <v>39µF 50v - R06.3-11.0 Jamicon (WL)</v>
      </c>
      <c r="T911" s="8">
        <f t="shared" si="175"/>
        <v>1</v>
      </c>
      <c r="U911" s="8" t="b">
        <f>NOT(ISNA(MATCH($P911,Packages!$A:$A,0)))</f>
        <v>1</v>
      </c>
    </row>
    <row r="912" spans="1:21" hidden="1">
      <c r="A912" s="6" t="s">
        <v>47</v>
      </c>
      <c r="B912" s="6" t="s">
        <v>53</v>
      </c>
      <c r="C912" s="33">
        <v>47</v>
      </c>
      <c r="D912" s="34">
        <v>50</v>
      </c>
      <c r="E912" s="6" t="s">
        <v>118</v>
      </c>
      <c r="F912" s="6" t="s">
        <v>59</v>
      </c>
      <c r="G912" s="6"/>
      <c r="H912" s="7" t="s">
        <v>141</v>
      </c>
      <c r="I912" s="7" t="str">
        <f t="shared" si="166"/>
        <v>JAMICON</v>
      </c>
      <c r="J912" s="7" t="str">
        <f t="shared" si="167"/>
        <v>47µF 50v</v>
      </c>
      <c r="K912" s="7"/>
      <c r="L912" s="7" t="str">
        <f t="shared" si="165"/>
        <v>WL</v>
      </c>
      <c r="M912" s="31">
        <f t="shared" si="170"/>
        <v>5</v>
      </c>
      <c r="N912" s="31">
        <f t="shared" si="171"/>
        <v>15</v>
      </c>
      <c r="O912" s="8" t="str">
        <f t="shared" si="172"/>
        <v>Jamicon-WL</v>
      </c>
      <c r="P912" s="12" t="str">
        <f t="shared" si="168"/>
        <v>Jamicon R-05.0x15.0</v>
      </c>
      <c r="Q912" s="12" t="str">
        <f t="shared" si="173"/>
        <v>47µF</v>
      </c>
      <c r="R912" s="12" t="str">
        <f t="shared" si="174"/>
        <v>50v</v>
      </c>
      <c r="S912" s="8" t="str">
        <f t="shared" si="169"/>
        <v>47µF 50v - R05.0-15.0 Jamicon (WL)</v>
      </c>
      <c r="T912" s="8">
        <f t="shared" si="175"/>
        <v>1</v>
      </c>
      <c r="U912" s="8" t="b">
        <f>NOT(ISNA(MATCH($P912,Packages!$A:$A,0)))</f>
        <v>1</v>
      </c>
    </row>
    <row r="913" spans="1:21" hidden="1">
      <c r="A913" s="6" t="s">
        <v>47</v>
      </c>
      <c r="B913" s="6" t="s">
        <v>53</v>
      </c>
      <c r="C913" s="33">
        <v>47</v>
      </c>
      <c r="D913" s="34">
        <v>50</v>
      </c>
      <c r="E913" s="6" t="s">
        <v>69</v>
      </c>
      <c r="F913" s="6" t="s">
        <v>59</v>
      </c>
      <c r="G913" s="6"/>
      <c r="H913" s="7" t="s">
        <v>141</v>
      </c>
      <c r="I913" s="7" t="str">
        <f t="shared" si="166"/>
        <v>JAMICON</v>
      </c>
      <c r="J913" s="7" t="str">
        <f t="shared" si="167"/>
        <v>47µF 50v</v>
      </c>
      <c r="K913" s="7"/>
      <c r="L913" s="7" t="str">
        <f t="shared" si="165"/>
        <v>WL</v>
      </c>
      <c r="M913" s="31">
        <f t="shared" si="170"/>
        <v>6.3</v>
      </c>
      <c r="N913" s="31">
        <f t="shared" si="171"/>
        <v>11</v>
      </c>
      <c r="O913" s="8" t="str">
        <f t="shared" si="172"/>
        <v>Jamicon-WL</v>
      </c>
      <c r="P913" s="12" t="str">
        <f t="shared" si="168"/>
        <v>Jamicon R-06.0x11.0</v>
      </c>
      <c r="Q913" s="12" t="str">
        <f t="shared" si="173"/>
        <v>47µF</v>
      </c>
      <c r="R913" s="12" t="str">
        <f t="shared" si="174"/>
        <v>50v</v>
      </c>
      <c r="S913" s="8" t="str">
        <f t="shared" si="169"/>
        <v>47µF 50v - R06.3-11.0 Jamicon (WL)</v>
      </c>
      <c r="T913" s="8">
        <f t="shared" si="175"/>
        <v>1</v>
      </c>
      <c r="U913" s="8" t="b">
        <f>NOT(ISNA(MATCH($P913,Packages!$A:$A,0)))</f>
        <v>1</v>
      </c>
    </row>
    <row r="914" spans="1:21" hidden="1">
      <c r="A914" s="6" t="s">
        <v>47</v>
      </c>
      <c r="B914" s="6" t="s">
        <v>53</v>
      </c>
      <c r="C914" s="33">
        <v>56</v>
      </c>
      <c r="D914" s="34">
        <v>50</v>
      </c>
      <c r="E914" s="6" t="s">
        <v>118</v>
      </c>
      <c r="F914" s="6" t="s">
        <v>59</v>
      </c>
      <c r="G914" s="6"/>
      <c r="H914" s="7" t="s">
        <v>141</v>
      </c>
      <c r="I914" s="7" t="str">
        <f t="shared" si="166"/>
        <v>JAMICON</v>
      </c>
      <c r="J914" s="7" t="str">
        <f t="shared" si="167"/>
        <v>56µF 50v</v>
      </c>
      <c r="K914" s="7"/>
      <c r="L914" s="7" t="str">
        <f t="shared" si="165"/>
        <v>WL</v>
      </c>
      <c r="M914" s="31">
        <f t="shared" si="170"/>
        <v>5</v>
      </c>
      <c r="N914" s="31">
        <f t="shared" si="171"/>
        <v>15</v>
      </c>
      <c r="O914" s="8" t="str">
        <f t="shared" si="172"/>
        <v>Jamicon-WL</v>
      </c>
      <c r="P914" s="12" t="str">
        <f t="shared" si="168"/>
        <v>Jamicon R-05.0x15.0</v>
      </c>
      <c r="Q914" s="12" t="str">
        <f t="shared" si="173"/>
        <v>56µF</v>
      </c>
      <c r="R914" s="12" t="str">
        <f t="shared" si="174"/>
        <v>50v</v>
      </c>
      <c r="S914" s="8" t="str">
        <f t="shared" si="169"/>
        <v>56µF 50v - R05.0-15.0 Jamicon (WL)</v>
      </c>
      <c r="T914" s="8">
        <f t="shared" si="175"/>
        <v>1</v>
      </c>
      <c r="U914" s="8" t="b">
        <f>NOT(ISNA(MATCH($P914,Packages!$A:$A,0)))</f>
        <v>1</v>
      </c>
    </row>
    <row r="915" spans="1:21" hidden="1">
      <c r="A915" s="6" t="s">
        <v>47</v>
      </c>
      <c r="B915" s="6" t="s">
        <v>53</v>
      </c>
      <c r="C915" s="33">
        <v>56</v>
      </c>
      <c r="D915" s="34">
        <v>50</v>
      </c>
      <c r="E915" s="6" t="s">
        <v>69</v>
      </c>
      <c r="F915" s="6" t="s">
        <v>59</v>
      </c>
      <c r="G915" s="6"/>
      <c r="H915" s="7" t="s">
        <v>141</v>
      </c>
      <c r="I915" s="7" t="str">
        <f t="shared" si="166"/>
        <v>JAMICON</v>
      </c>
      <c r="J915" s="7" t="str">
        <f t="shared" si="167"/>
        <v>56µF 50v</v>
      </c>
      <c r="K915" s="7"/>
      <c r="L915" s="7" t="str">
        <f t="shared" si="165"/>
        <v>WL</v>
      </c>
      <c r="M915" s="31">
        <f t="shared" si="170"/>
        <v>6.3</v>
      </c>
      <c r="N915" s="31">
        <f t="shared" si="171"/>
        <v>11</v>
      </c>
      <c r="O915" s="8" t="str">
        <f t="shared" si="172"/>
        <v>Jamicon-WL</v>
      </c>
      <c r="P915" s="12" t="str">
        <f t="shared" si="168"/>
        <v>Jamicon R-06.0x11.0</v>
      </c>
      <c r="Q915" s="12" t="str">
        <f t="shared" si="173"/>
        <v>56µF</v>
      </c>
      <c r="R915" s="12" t="str">
        <f t="shared" si="174"/>
        <v>50v</v>
      </c>
      <c r="S915" s="8" t="str">
        <f t="shared" si="169"/>
        <v>56µF 50v - R06.3-11.0 Jamicon (WL)</v>
      </c>
      <c r="T915" s="8">
        <f t="shared" si="175"/>
        <v>1</v>
      </c>
      <c r="U915" s="8" t="b">
        <f>NOT(ISNA(MATCH($P915,Packages!$A:$A,0)))</f>
        <v>1</v>
      </c>
    </row>
    <row r="916" spans="1:21" hidden="1">
      <c r="A916" s="6" t="s">
        <v>47</v>
      </c>
      <c r="B916" s="6" t="s">
        <v>53</v>
      </c>
      <c r="C916" s="33">
        <v>68</v>
      </c>
      <c r="D916" s="34">
        <v>50</v>
      </c>
      <c r="E916" s="6" t="s">
        <v>119</v>
      </c>
      <c r="F916" s="6" t="s">
        <v>59</v>
      </c>
      <c r="G916" s="6"/>
      <c r="H916" s="7" t="s">
        <v>141</v>
      </c>
      <c r="I916" s="7" t="str">
        <f t="shared" si="166"/>
        <v>JAMICON</v>
      </c>
      <c r="J916" s="7" t="str">
        <f t="shared" si="167"/>
        <v>68µF 50v</v>
      </c>
      <c r="K916" s="7"/>
      <c r="L916" s="7" t="str">
        <f t="shared" si="165"/>
        <v>WL</v>
      </c>
      <c r="M916" s="31">
        <f t="shared" si="170"/>
        <v>6.3</v>
      </c>
      <c r="N916" s="31">
        <f t="shared" si="171"/>
        <v>15</v>
      </c>
      <c r="O916" s="8" t="str">
        <f t="shared" si="172"/>
        <v>Jamicon-WL</v>
      </c>
      <c r="P916" s="12" t="str">
        <f t="shared" si="168"/>
        <v>Jamicon R-06.0x15.0</v>
      </c>
      <c r="Q916" s="12" t="str">
        <f t="shared" si="173"/>
        <v>68µF</v>
      </c>
      <c r="R916" s="12" t="str">
        <f t="shared" si="174"/>
        <v>50v</v>
      </c>
      <c r="S916" s="8" t="str">
        <f t="shared" si="169"/>
        <v>68µF 50v - R06.3-15.0 Jamicon (WL)</v>
      </c>
      <c r="T916" s="8">
        <f t="shared" si="175"/>
        <v>1</v>
      </c>
      <c r="U916" s="8" t="b">
        <f>NOT(ISNA(MATCH($P916,Packages!$A:$A,0)))</f>
        <v>1</v>
      </c>
    </row>
    <row r="917" spans="1:21" hidden="1">
      <c r="A917" s="6" t="s">
        <v>47</v>
      </c>
      <c r="B917" s="6" t="s">
        <v>53</v>
      </c>
      <c r="C917" s="33">
        <v>68</v>
      </c>
      <c r="D917" s="34">
        <v>50</v>
      </c>
      <c r="E917" s="6" t="s">
        <v>108</v>
      </c>
      <c r="F917" s="6" t="s">
        <v>59</v>
      </c>
      <c r="G917" s="6"/>
      <c r="H917" s="7" t="s">
        <v>141</v>
      </c>
      <c r="I917" s="7" t="str">
        <f t="shared" si="166"/>
        <v>JAMICON</v>
      </c>
      <c r="J917" s="7" t="str">
        <f t="shared" si="167"/>
        <v>68µF 50v</v>
      </c>
      <c r="K917" s="7"/>
      <c r="L917" s="7" t="str">
        <f t="shared" si="165"/>
        <v>WL</v>
      </c>
      <c r="M917" s="31">
        <f t="shared" si="170"/>
        <v>8</v>
      </c>
      <c r="N917" s="31">
        <f t="shared" si="171"/>
        <v>11.5</v>
      </c>
      <c r="O917" s="8" t="str">
        <f t="shared" si="172"/>
        <v>Jamicon-WL</v>
      </c>
      <c r="P917" s="12" t="str">
        <f t="shared" si="168"/>
        <v>Jamicon R-08.0x12.0</v>
      </c>
      <c r="Q917" s="12" t="str">
        <f t="shared" si="173"/>
        <v>68µF</v>
      </c>
      <c r="R917" s="12" t="str">
        <f t="shared" si="174"/>
        <v>50v</v>
      </c>
      <c r="S917" s="8" t="str">
        <f t="shared" si="169"/>
        <v>68µF 50v - R08.0-11.5 Jamicon (WL)</v>
      </c>
      <c r="T917" s="8">
        <f t="shared" si="175"/>
        <v>1</v>
      </c>
      <c r="U917" s="8" t="b">
        <f>NOT(ISNA(MATCH($P917,Packages!$A:$A,0)))</f>
        <v>1</v>
      </c>
    </row>
    <row r="918" spans="1:21" hidden="1">
      <c r="A918" s="6" t="s">
        <v>47</v>
      </c>
      <c r="B918" s="6" t="s">
        <v>53</v>
      </c>
      <c r="C918" s="33">
        <v>82</v>
      </c>
      <c r="D918" s="34">
        <v>50</v>
      </c>
      <c r="E918" s="6" t="s">
        <v>119</v>
      </c>
      <c r="F918" s="6" t="s">
        <v>59</v>
      </c>
      <c r="G918" s="6"/>
      <c r="H918" s="7" t="s">
        <v>141</v>
      </c>
      <c r="I918" s="7" t="str">
        <f t="shared" si="166"/>
        <v>JAMICON</v>
      </c>
      <c r="J918" s="7" t="str">
        <f t="shared" si="167"/>
        <v>82µF 50v</v>
      </c>
      <c r="K918" s="7"/>
      <c r="L918" s="7" t="str">
        <f t="shared" si="165"/>
        <v>WL</v>
      </c>
      <c r="M918" s="31">
        <f t="shared" si="170"/>
        <v>6.3</v>
      </c>
      <c r="N918" s="31">
        <f t="shared" si="171"/>
        <v>15</v>
      </c>
      <c r="O918" s="8" t="str">
        <f t="shared" si="172"/>
        <v>Jamicon-WL</v>
      </c>
      <c r="P918" s="12" t="str">
        <f t="shared" si="168"/>
        <v>Jamicon R-06.0x15.0</v>
      </c>
      <c r="Q918" s="12" t="str">
        <f t="shared" si="173"/>
        <v>82µF</v>
      </c>
      <c r="R918" s="12" t="str">
        <f t="shared" si="174"/>
        <v>50v</v>
      </c>
      <c r="S918" s="8" t="str">
        <f t="shared" si="169"/>
        <v>82µF 50v - R06.3-15.0 Jamicon (WL)</v>
      </c>
      <c r="T918" s="8">
        <f t="shared" si="175"/>
        <v>1</v>
      </c>
      <c r="U918" s="8" t="b">
        <f>NOT(ISNA(MATCH($P918,Packages!$A:$A,0)))</f>
        <v>1</v>
      </c>
    </row>
    <row r="919" spans="1:21" hidden="1">
      <c r="A919" s="6" t="s">
        <v>47</v>
      </c>
      <c r="B919" s="6" t="s">
        <v>53</v>
      </c>
      <c r="C919" s="33">
        <v>82</v>
      </c>
      <c r="D919" s="34">
        <v>50</v>
      </c>
      <c r="E919" s="6" t="s">
        <v>108</v>
      </c>
      <c r="F919" s="6" t="s">
        <v>59</v>
      </c>
      <c r="G919" s="6"/>
      <c r="H919" s="7" t="s">
        <v>141</v>
      </c>
      <c r="I919" s="7" t="str">
        <f t="shared" si="166"/>
        <v>JAMICON</v>
      </c>
      <c r="J919" s="7" t="str">
        <f t="shared" si="167"/>
        <v>82µF 50v</v>
      </c>
      <c r="K919" s="7"/>
      <c r="L919" s="7" t="str">
        <f t="shared" si="165"/>
        <v>WL</v>
      </c>
      <c r="M919" s="31">
        <f t="shared" si="170"/>
        <v>8</v>
      </c>
      <c r="N919" s="31">
        <f t="shared" si="171"/>
        <v>11.5</v>
      </c>
      <c r="O919" s="8" t="str">
        <f t="shared" si="172"/>
        <v>Jamicon-WL</v>
      </c>
      <c r="P919" s="12" t="str">
        <f t="shared" si="168"/>
        <v>Jamicon R-08.0x12.0</v>
      </c>
      <c r="Q919" s="12" t="str">
        <f t="shared" si="173"/>
        <v>82µF</v>
      </c>
      <c r="R919" s="12" t="str">
        <f t="shared" si="174"/>
        <v>50v</v>
      </c>
      <c r="S919" s="8" t="str">
        <f t="shared" si="169"/>
        <v>82µF 50v - R08.0-11.5 Jamicon (WL)</v>
      </c>
      <c r="T919" s="8">
        <f t="shared" si="175"/>
        <v>1</v>
      </c>
      <c r="U919" s="8" t="b">
        <f>NOT(ISNA(MATCH($P919,Packages!$A:$A,0)))</f>
        <v>1</v>
      </c>
    </row>
    <row r="920" spans="1:21" hidden="1">
      <c r="A920" s="6" t="s">
        <v>47</v>
      </c>
      <c r="B920" s="6" t="s">
        <v>53</v>
      </c>
      <c r="C920" s="33">
        <v>100</v>
      </c>
      <c r="D920" s="34">
        <v>50</v>
      </c>
      <c r="E920" s="6" t="s">
        <v>120</v>
      </c>
      <c r="F920" s="6" t="s">
        <v>59</v>
      </c>
      <c r="G920" s="6"/>
      <c r="H920" s="7" t="s">
        <v>141</v>
      </c>
      <c r="I920" s="7" t="str">
        <f t="shared" si="166"/>
        <v>JAMICON</v>
      </c>
      <c r="J920" s="7" t="str">
        <f t="shared" si="167"/>
        <v>100µF 50v</v>
      </c>
      <c r="K920" s="7"/>
      <c r="L920" s="7" t="str">
        <f t="shared" si="165"/>
        <v>WL</v>
      </c>
      <c r="M920" s="31">
        <f t="shared" si="170"/>
        <v>8</v>
      </c>
      <c r="N920" s="31">
        <f t="shared" si="171"/>
        <v>15</v>
      </c>
      <c r="O920" s="8" t="str">
        <f t="shared" si="172"/>
        <v>Jamicon-WL</v>
      </c>
      <c r="P920" s="12" t="str">
        <f t="shared" si="168"/>
        <v>Jamicon R-08.0x15.0</v>
      </c>
      <c r="Q920" s="12" t="str">
        <f t="shared" si="173"/>
        <v>100µF</v>
      </c>
      <c r="R920" s="12" t="str">
        <f t="shared" si="174"/>
        <v>50v</v>
      </c>
      <c r="S920" s="8" t="str">
        <f t="shared" si="169"/>
        <v>100µF 50v - R08.0-15.0 Jamicon (WL)</v>
      </c>
      <c r="T920" s="8">
        <f t="shared" si="175"/>
        <v>1</v>
      </c>
      <c r="U920" s="8" t="b">
        <f>NOT(ISNA(MATCH($P920,Packages!$A:$A,0)))</f>
        <v>1</v>
      </c>
    </row>
    <row r="921" spans="1:21" hidden="1">
      <c r="A921" s="6" t="s">
        <v>47</v>
      </c>
      <c r="B921" s="6" t="s">
        <v>53</v>
      </c>
      <c r="C921" s="33">
        <v>100</v>
      </c>
      <c r="D921" s="34">
        <v>50</v>
      </c>
      <c r="E921" s="6" t="s">
        <v>92</v>
      </c>
      <c r="F921" s="6" t="s">
        <v>59</v>
      </c>
      <c r="G921" s="6"/>
      <c r="H921" s="7" t="s">
        <v>141</v>
      </c>
      <c r="I921" s="7" t="str">
        <f t="shared" si="166"/>
        <v>JAMICON</v>
      </c>
      <c r="J921" s="7" t="str">
        <f t="shared" si="167"/>
        <v>100µF 50v</v>
      </c>
      <c r="K921" s="7"/>
      <c r="L921" s="7" t="str">
        <f t="shared" si="165"/>
        <v>WL</v>
      </c>
      <c r="M921" s="31">
        <f t="shared" si="170"/>
        <v>10</v>
      </c>
      <c r="N921" s="31">
        <f t="shared" si="171"/>
        <v>12.5</v>
      </c>
      <c r="O921" s="8" t="str">
        <f t="shared" si="172"/>
        <v>Jamicon-WL</v>
      </c>
      <c r="P921" s="12" t="str">
        <f t="shared" si="168"/>
        <v>Jamicon R-10.0x13.0</v>
      </c>
      <c r="Q921" s="12" t="str">
        <f t="shared" si="173"/>
        <v>100µF</v>
      </c>
      <c r="R921" s="12" t="str">
        <f t="shared" si="174"/>
        <v>50v</v>
      </c>
      <c r="S921" s="8" t="str">
        <f t="shared" si="169"/>
        <v>100µF 50v - R10.0-12.5 Jamicon (WL)</v>
      </c>
      <c r="T921" s="8">
        <f t="shared" si="175"/>
        <v>1</v>
      </c>
      <c r="U921" s="8" t="b">
        <f>NOT(ISNA(MATCH($P921,Packages!$A:$A,0)))</f>
        <v>1</v>
      </c>
    </row>
    <row r="922" spans="1:21" hidden="1">
      <c r="A922" s="6" t="s">
        <v>47</v>
      </c>
      <c r="B922" s="6" t="s">
        <v>53</v>
      </c>
      <c r="C922" s="33">
        <v>120</v>
      </c>
      <c r="D922" s="34">
        <v>50</v>
      </c>
      <c r="E922" s="6" t="s">
        <v>120</v>
      </c>
      <c r="F922" s="6" t="s">
        <v>59</v>
      </c>
      <c r="G922" s="6"/>
      <c r="H922" s="7" t="s">
        <v>141</v>
      </c>
      <c r="I922" s="7" t="str">
        <f t="shared" si="166"/>
        <v>JAMICON</v>
      </c>
      <c r="J922" s="7" t="str">
        <f t="shared" si="167"/>
        <v>120µF 50v</v>
      </c>
      <c r="K922" s="7"/>
      <c r="L922" s="7" t="str">
        <f t="shared" si="165"/>
        <v>WL</v>
      </c>
      <c r="M922" s="31">
        <f t="shared" si="170"/>
        <v>8</v>
      </c>
      <c r="N922" s="31">
        <f t="shared" si="171"/>
        <v>15</v>
      </c>
      <c r="O922" s="8" t="str">
        <f t="shared" si="172"/>
        <v>Jamicon-WL</v>
      </c>
      <c r="P922" s="12" t="str">
        <f t="shared" si="168"/>
        <v>Jamicon R-08.0x15.0</v>
      </c>
      <c r="Q922" s="12" t="str">
        <f t="shared" si="173"/>
        <v>120µF</v>
      </c>
      <c r="R922" s="12" t="str">
        <f t="shared" si="174"/>
        <v>50v</v>
      </c>
      <c r="S922" s="8" t="str">
        <f t="shared" si="169"/>
        <v>120µF 50v - R08.0-15.0 Jamicon (WL)</v>
      </c>
      <c r="T922" s="8">
        <f t="shared" si="175"/>
        <v>1</v>
      </c>
      <c r="U922" s="8" t="b">
        <f>NOT(ISNA(MATCH($P922,Packages!$A:$A,0)))</f>
        <v>1</v>
      </c>
    </row>
    <row r="923" spans="1:21" hidden="1">
      <c r="A923" s="6" t="s">
        <v>47</v>
      </c>
      <c r="B923" s="6" t="s">
        <v>53</v>
      </c>
      <c r="C923" s="33">
        <v>120</v>
      </c>
      <c r="D923" s="34">
        <v>50</v>
      </c>
      <c r="E923" s="6" t="s">
        <v>92</v>
      </c>
      <c r="F923" s="6" t="s">
        <v>59</v>
      </c>
      <c r="G923" s="6"/>
      <c r="H923" s="7" t="s">
        <v>141</v>
      </c>
      <c r="I923" s="7" t="str">
        <f t="shared" si="166"/>
        <v>JAMICON</v>
      </c>
      <c r="J923" s="7" t="str">
        <f t="shared" si="167"/>
        <v>120µF 50v</v>
      </c>
      <c r="K923" s="7"/>
      <c r="L923" s="7" t="str">
        <f t="shared" si="165"/>
        <v>WL</v>
      </c>
      <c r="M923" s="31">
        <f t="shared" si="170"/>
        <v>10</v>
      </c>
      <c r="N923" s="31">
        <f t="shared" si="171"/>
        <v>12.5</v>
      </c>
      <c r="O923" s="8" t="str">
        <f t="shared" si="172"/>
        <v>Jamicon-WL</v>
      </c>
      <c r="P923" s="12" t="str">
        <f t="shared" si="168"/>
        <v>Jamicon R-10.0x13.0</v>
      </c>
      <c r="Q923" s="12" t="str">
        <f t="shared" si="173"/>
        <v>120µF</v>
      </c>
      <c r="R923" s="12" t="str">
        <f t="shared" si="174"/>
        <v>50v</v>
      </c>
      <c r="S923" s="8" t="str">
        <f t="shared" si="169"/>
        <v>120µF 50v - R10.0-12.5 Jamicon (WL)</v>
      </c>
      <c r="T923" s="8">
        <f t="shared" si="175"/>
        <v>1</v>
      </c>
      <c r="U923" s="8" t="b">
        <f>NOT(ISNA(MATCH($P923,Packages!$A:$A,0)))</f>
        <v>1</v>
      </c>
    </row>
    <row r="924" spans="1:21" hidden="1">
      <c r="A924" s="6" t="s">
        <v>47</v>
      </c>
      <c r="B924" s="6" t="s">
        <v>53</v>
      </c>
      <c r="C924" s="33">
        <v>150</v>
      </c>
      <c r="D924" s="34">
        <v>50</v>
      </c>
      <c r="E924" s="6" t="s">
        <v>121</v>
      </c>
      <c r="F924" s="6" t="s">
        <v>59</v>
      </c>
      <c r="G924" s="6"/>
      <c r="H924" s="7" t="s">
        <v>141</v>
      </c>
      <c r="I924" s="7" t="str">
        <f t="shared" si="166"/>
        <v>JAMICON</v>
      </c>
      <c r="J924" s="7" t="str">
        <f t="shared" si="167"/>
        <v>150µF 50v</v>
      </c>
      <c r="K924" s="7"/>
      <c r="L924" s="7" t="str">
        <f t="shared" ref="L924:L967" si="176">B924</f>
        <v>WL</v>
      </c>
      <c r="M924" s="31">
        <f t="shared" si="170"/>
        <v>8</v>
      </c>
      <c r="N924" s="31">
        <f t="shared" si="171"/>
        <v>20</v>
      </c>
      <c r="O924" s="8" t="str">
        <f t="shared" si="172"/>
        <v>Jamicon-WL</v>
      </c>
      <c r="P924" s="12" t="str">
        <f t="shared" si="168"/>
        <v>Jamicon R-08.0x20.0</v>
      </c>
      <c r="Q924" s="12" t="str">
        <f t="shared" si="173"/>
        <v>150µF</v>
      </c>
      <c r="R924" s="12" t="str">
        <f t="shared" si="174"/>
        <v>50v</v>
      </c>
      <c r="S924" s="8" t="str">
        <f t="shared" si="169"/>
        <v>150µF 50v - R08.0-20.0 Jamicon (WL)</v>
      </c>
      <c r="T924" s="8">
        <f t="shared" si="175"/>
        <v>1</v>
      </c>
      <c r="U924" s="8" t="b">
        <f>NOT(ISNA(MATCH($P924,Packages!$A:$A,0)))</f>
        <v>1</v>
      </c>
    </row>
    <row r="925" spans="1:21" hidden="1">
      <c r="A925" s="6" t="s">
        <v>47</v>
      </c>
      <c r="B925" s="6" t="s">
        <v>53</v>
      </c>
      <c r="C925" s="33">
        <v>150</v>
      </c>
      <c r="D925" s="34">
        <v>50</v>
      </c>
      <c r="E925" s="6" t="s">
        <v>74</v>
      </c>
      <c r="F925" s="6" t="s">
        <v>59</v>
      </c>
      <c r="G925" s="6"/>
      <c r="H925" s="7" t="s">
        <v>141</v>
      </c>
      <c r="I925" s="7" t="str">
        <f t="shared" ref="I925:I969" si="177">UPPER($A925)</f>
        <v>JAMICON</v>
      </c>
      <c r="J925" s="7" t="str">
        <f t="shared" ref="J925:J969" si="178">$Q925&amp;" "&amp;$R925</f>
        <v>150µF 50v</v>
      </c>
      <c r="K925" s="7"/>
      <c r="L925" s="7" t="str">
        <f t="shared" si="176"/>
        <v>WL</v>
      </c>
      <c r="M925" s="31">
        <f t="shared" si="170"/>
        <v>10</v>
      </c>
      <c r="N925" s="31">
        <f t="shared" si="171"/>
        <v>16</v>
      </c>
      <c r="O925" s="8" t="str">
        <f t="shared" si="172"/>
        <v>Jamicon-WL</v>
      </c>
      <c r="P925" s="12" t="str">
        <f t="shared" si="168"/>
        <v>Jamicon R-10.0x16.0</v>
      </c>
      <c r="Q925" s="12" t="str">
        <f t="shared" si="173"/>
        <v>150µF</v>
      </c>
      <c r="R925" s="12" t="str">
        <f t="shared" si="174"/>
        <v>50v</v>
      </c>
      <c r="S925" s="8" t="str">
        <f t="shared" si="169"/>
        <v>150µF 50v - R10.0-16.0 Jamicon (WL)</v>
      </c>
      <c r="T925" s="8">
        <f t="shared" si="175"/>
        <v>1</v>
      </c>
      <c r="U925" s="8" t="b">
        <f>NOT(ISNA(MATCH($P925,Packages!$A:$A,0)))</f>
        <v>1</v>
      </c>
    </row>
    <row r="926" spans="1:21" hidden="1">
      <c r="A926" s="6" t="s">
        <v>47</v>
      </c>
      <c r="B926" s="6" t="s">
        <v>53</v>
      </c>
      <c r="C926" s="33">
        <v>180</v>
      </c>
      <c r="D926" s="34">
        <v>50</v>
      </c>
      <c r="E926" s="6" t="s">
        <v>121</v>
      </c>
      <c r="F926" s="6" t="s">
        <v>59</v>
      </c>
      <c r="G926" s="6"/>
      <c r="H926" s="7" t="s">
        <v>141</v>
      </c>
      <c r="I926" s="7" t="str">
        <f t="shared" si="177"/>
        <v>JAMICON</v>
      </c>
      <c r="J926" s="7" t="str">
        <f t="shared" si="178"/>
        <v>180µF 50v</v>
      </c>
      <c r="K926" s="7"/>
      <c r="L926" s="7" t="str">
        <f t="shared" si="176"/>
        <v>WL</v>
      </c>
      <c r="M926" s="31">
        <f t="shared" si="170"/>
        <v>8</v>
      </c>
      <c r="N926" s="31">
        <f t="shared" si="171"/>
        <v>20</v>
      </c>
      <c r="O926" s="8" t="str">
        <f t="shared" si="172"/>
        <v>Jamicon-WL</v>
      </c>
      <c r="P926" s="12" t="str">
        <f t="shared" si="168"/>
        <v>Jamicon R-08.0x20.0</v>
      </c>
      <c r="Q926" s="12" t="str">
        <f t="shared" si="173"/>
        <v>180µF</v>
      </c>
      <c r="R926" s="12" t="str">
        <f t="shared" si="174"/>
        <v>50v</v>
      </c>
      <c r="S926" s="8" t="str">
        <f t="shared" si="169"/>
        <v>180µF 50v - R08.0-20.0 Jamicon (WL)</v>
      </c>
      <c r="T926" s="8">
        <f t="shared" si="175"/>
        <v>1</v>
      </c>
      <c r="U926" s="8" t="b">
        <f>NOT(ISNA(MATCH($P926,Packages!$A:$A,0)))</f>
        <v>1</v>
      </c>
    </row>
    <row r="927" spans="1:21" hidden="1">
      <c r="A927" s="6" t="s">
        <v>47</v>
      </c>
      <c r="B927" s="6" t="s">
        <v>53</v>
      </c>
      <c r="C927" s="33">
        <v>180</v>
      </c>
      <c r="D927" s="34">
        <v>50</v>
      </c>
      <c r="E927" s="6" t="s">
        <v>74</v>
      </c>
      <c r="F927" s="6" t="s">
        <v>59</v>
      </c>
      <c r="G927" s="6"/>
      <c r="H927" s="7" t="s">
        <v>141</v>
      </c>
      <c r="I927" s="7" t="str">
        <f t="shared" si="177"/>
        <v>JAMICON</v>
      </c>
      <c r="J927" s="7" t="str">
        <f t="shared" si="178"/>
        <v>180µF 50v</v>
      </c>
      <c r="K927" s="7"/>
      <c r="L927" s="7" t="str">
        <f t="shared" si="176"/>
        <v>WL</v>
      </c>
      <c r="M927" s="31">
        <f t="shared" si="170"/>
        <v>10</v>
      </c>
      <c r="N927" s="31">
        <f t="shared" si="171"/>
        <v>16</v>
      </c>
      <c r="O927" s="8" t="str">
        <f t="shared" si="172"/>
        <v>Jamicon-WL</v>
      </c>
      <c r="P927" s="12" t="str">
        <f t="shared" si="168"/>
        <v>Jamicon R-10.0x16.0</v>
      </c>
      <c r="Q927" s="12" t="str">
        <f t="shared" si="173"/>
        <v>180µF</v>
      </c>
      <c r="R927" s="12" t="str">
        <f t="shared" si="174"/>
        <v>50v</v>
      </c>
      <c r="S927" s="8" t="str">
        <f t="shared" si="169"/>
        <v>180µF 50v - R10.0-16.0 Jamicon (WL)</v>
      </c>
      <c r="T927" s="8">
        <f t="shared" si="175"/>
        <v>1</v>
      </c>
      <c r="U927" s="8" t="b">
        <f>NOT(ISNA(MATCH($P927,Packages!$A:$A,0)))</f>
        <v>1</v>
      </c>
    </row>
    <row r="928" spans="1:21" hidden="1">
      <c r="A928" s="6" t="s">
        <v>47</v>
      </c>
      <c r="B928" s="6" t="s">
        <v>53</v>
      </c>
      <c r="C928" s="33">
        <v>220</v>
      </c>
      <c r="D928" s="34">
        <v>50</v>
      </c>
      <c r="E928" s="6" t="s">
        <v>121</v>
      </c>
      <c r="F928" s="6" t="s">
        <v>59</v>
      </c>
      <c r="G928" s="6"/>
      <c r="H928" s="7" t="s">
        <v>141</v>
      </c>
      <c r="I928" s="7" t="str">
        <f t="shared" si="177"/>
        <v>JAMICON</v>
      </c>
      <c r="J928" s="7" t="str">
        <f t="shared" si="178"/>
        <v>220µF 50v</v>
      </c>
      <c r="K928" s="7"/>
      <c r="L928" s="7" t="str">
        <f t="shared" si="176"/>
        <v>WL</v>
      </c>
      <c r="M928" s="31">
        <f t="shared" si="170"/>
        <v>8</v>
      </c>
      <c r="N928" s="31">
        <f t="shared" si="171"/>
        <v>20</v>
      </c>
      <c r="O928" s="8" t="str">
        <f t="shared" si="172"/>
        <v>Jamicon-WL</v>
      </c>
      <c r="P928" s="12" t="str">
        <f t="shared" si="168"/>
        <v>Jamicon R-08.0x20.0</v>
      </c>
      <c r="Q928" s="12" t="str">
        <f t="shared" si="173"/>
        <v>220µF</v>
      </c>
      <c r="R928" s="12" t="str">
        <f t="shared" si="174"/>
        <v>50v</v>
      </c>
      <c r="S928" s="8" t="str">
        <f t="shared" si="169"/>
        <v>220µF 50v - R08.0-20.0 Jamicon (WL)</v>
      </c>
      <c r="T928" s="8">
        <f t="shared" si="175"/>
        <v>1</v>
      </c>
      <c r="U928" s="8" t="b">
        <f>NOT(ISNA(MATCH($P928,Packages!$A:$A,0)))</f>
        <v>1</v>
      </c>
    </row>
    <row r="929" spans="1:21" hidden="1">
      <c r="A929" s="6" t="s">
        <v>47</v>
      </c>
      <c r="B929" s="6" t="s">
        <v>53</v>
      </c>
      <c r="C929" s="33">
        <v>220</v>
      </c>
      <c r="D929" s="34">
        <v>50</v>
      </c>
      <c r="E929" s="6" t="s">
        <v>74</v>
      </c>
      <c r="F929" s="6" t="s">
        <v>59</v>
      </c>
      <c r="G929" s="6"/>
      <c r="H929" s="7" t="s">
        <v>141</v>
      </c>
      <c r="I929" s="7" t="str">
        <f t="shared" si="177"/>
        <v>JAMICON</v>
      </c>
      <c r="J929" s="7" t="str">
        <f t="shared" si="178"/>
        <v>220µF 50v</v>
      </c>
      <c r="K929" s="7"/>
      <c r="L929" s="7" t="str">
        <f t="shared" si="176"/>
        <v>WL</v>
      </c>
      <c r="M929" s="31">
        <f t="shared" si="170"/>
        <v>10</v>
      </c>
      <c r="N929" s="31">
        <f t="shared" si="171"/>
        <v>16</v>
      </c>
      <c r="O929" s="8" t="str">
        <f t="shared" si="172"/>
        <v>Jamicon-WL</v>
      </c>
      <c r="P929" s="12" t="str">
        <f t="shared" si="168"/>
        <v>Jamicon R-10.0x16.0</v>
      </c>
      <c r="Q929" s="12" t="str">
        <f t="shared" si="173"/>
        <v>220µF</v>
      </c>
      <c r="R929" s="12" t="str">
        <f t="shared" si="174"/>
        <v>50v</v>
      </c>
      <c r="S929" s="8" t="str">
        <f t="shared" si="169"/>
        <v>220µF 50v - R10.0-16.0 Jamicon (WL)</v>
      </c>
      <c r="T929" s="8">
        <f t="shared" si="175"/>
        <v>1</v>
      </c>
      <c r="U929" s="8" t="b">
        <f>NOT(ISNA(MATCH($P929,Packages!$A:$A,0)))</f>
        <v>1</v>
      </c>
    </row>
    <row r="930" spans="1:21" hidden="1">
      <c r="A930" s="6" t="s">
        <v>47</v>
      </c>
      <c r="B930" s="6" t="s">
        <v>53</v>
      </c>
      <c r="C930" s="33">
        <v>270</v>
      </c>
      <c r="D930" s="34">
        <v>50</v>
      </c>
      <c r="E930" s="6" t="s">
        <v>94</v>
      </c>
      <c r="F930" s="6" t="s">
        <v>59</v>
      </c>
      <c r="G930" s="6"/>
      <c r="H930" s="7" t="s">
        <v>141</v>
      </c>
      <c r="I930" s="7" t="str">
        <f t="shared" si="177"/>
        <v>JAMICON</v>
      </c>
      <c r="J930" s="7" t="str">
        <f t="shared" si="178"/>
        <v>270µF 50v</v>
      </c>
      <c r="K930" s="7"/>
      <c r="L930" s="7" t="str">
        <f t="shared" si="176"/>
        <v>WL</v>
      </c>
      <c r="M930" s="31">
        <f t="shared" si="170"/>
        <v>10</v>
      </c>
      <c r="N930" s="31">
        <f t="shared" si="171"/>
        <v>20</v>
      </c>
      <c r="O930" s="8" t="str">
        <f t="shared" si="172"/>
        <v>Jamicon-WL</v>
      </c>
      <c r="P930" s="12" t="str">
        <f t="shared" si="168"/>
        <v>Jamicon R-10.0x20.0</v>
      </c>
      <c r="Q930" s="12" t="str">
        <f t="shared" si="173"/>
        <v>270µF</v>
      </c>
      <c r="R930" s="12" t="str">
        <f t="shared" si="174"/>
        <v>50v</v>
      </c>
      <c r="S930" s="8" t="str">
        <f t="shared" si="169"/>
        <v>270µF 50v - R10.0-20.0 Jamicon (WL)</v>
      </c>
      <c r="T930" s="8">
        <f t="shared" si="175"/>
        <v>1</v>
      </c>
      <c r="U930" s="8" t="b">
        <f>NOT(ISNA(MATCH($P930,Packages!$A:$A,0)))</f>
        <v>1</v>
      </c>
    </row>
    <row r="931" spans="1:21" hidden="1">
      <c r="A931" s="6" t="s">
        <v>47</v>
      </c>
      <c r="B931" s="6" t="s">
        <v>53</v>
      </c>
      <c r="C931" s="33">
        <v>270</v>
      </c>
      <c r="D931" s="34">
        <v>50</v>
      </c>
      <c r="E931" s="6" t="s">
        <v>122</v>
      </c>
      <c r="F931" s="6" t="s">
        <v>59</v>
      </c>
      <c r="G931" s="6"/>
      <c r="H931" s="7" t="s">
        <v>141</v>
      </c>
      <c r="I931" s="7" t="str">
        <f t="shared" si="177"/>
        <v>JAMICON</v>
      </c>
      <c r="J931" s="7" t="str">
        <f t="shared" si="178"/>
        <v>270µF 50v</v>
      </c>
      <c r="K931" s="7"/>
      <c r="L931" s="7" t="str">
        <f t="shared" si="176"/>
        <v>WL</v>
      </c>
      <c r="M931" s="31">
        <f t="shared" si="170"/>
        <v>12.5</v>
      </c>
      <c r="N931" s="31">
        <f t="shared" si="171"/>
        <v>15</v>
      </c>
      <c r="O931" s="8" t="str">
        <f t="shared" si="172"/>
        <v>Jamicon-WL</v>
      </c>
      <c r="P931" s="12" t="str">
        <f t="shared" si="168"/>
        <v>Jamicon R-13.0x15.0</v>
      </c>
      <c r="Q931" s="12" t="str">
        <f t="shared" si="173"/>
        <v>270µF</v>
      </c>
      <c r="R931" s="12" t="str">
        <f t="shared" si="174"/>
        <v>50v</v>
      </c>
      <c r="S931" s="8" t="str">
        <f t="shared" si="169"/>
        <v>270µF 50v - R12.5-15.0 Jamicon (WL)</v>
      </c>
      <c r="T931" s="8">
        <f t="shared" si="175"/>
        <v>1</v>
      </c>
      <c r="U931" s="8" t="b">
        <f>NOT(ISNA(MATCH($P931,Packages!$A:$A,0)))</f>
        <v>1</v>
      </c>
    </row>
    <row r="932" spans="1:21" hidden="1">
      <c r="A932" s="6" t="s">
        <v>47</v>
      </c>
      <c r="B932" s="6" t="s">
        <v>53</v>
      </c>
      <c r="C932" s="33">
        <v>330</v>
      </c>
      <c r="D932" s="34">
        <v>50</v>
      </c>
      <c r="E932" s="6" t="s">
        <v>123</v>
      </c>
      <c r="F932" s="6" t="s">
        <v>59</v>
      </c>
      <c r="G932" s="6"/>
      <c r="H932" s="7" t="s">
        <v>141</v>
      </c>
      <c r="I932" s="7" t="str">
        <f t="shared" si="177"/>
        <v>JAMICON</v>
      </c>
      <c r="J932" s="7" t="str">
        <f t="shared" si="178"/>
        <v>330µF 50v</v>
      </c>
      <c r="K932" s="7"/>
      <c r="L932" s="7" t="str">
        <f t="shared" si="176"/>
        <v>WL</v>
      </c>
      <c r="M932" s="31">
        <f t="shared" si="170"/>
        <v>10</v>
      </c>
      <c r="N932" s="31">
        <f t="shared" si="171"/>
        <v>25</v>
      </c>
      <c r="O932" s="8" t="str">
        <f t="shared" si="172"/>
        <v>Jamicon-WL</v>
      </c>
      <c r="P932" s="12" t="str">
        <f t="shared" si="168"/>
        <v>Jamicon R-10.0x25.0</v>
      </c>
      <c r="Q932" s="12" t="str">
        <f t="shared" si="173"/>
        <v>330µF</v>
      </c>
      <c r="R932" s="12" t="str">
        <f t="shared" si="174"/>
        <v>50v</v>
      </c>
      <c r="S932" s="8" t="str">
        <f t="shared" si="169"/>
        <v>330µF 50v - R10.0-25.0 Jamicon (WL)</v>
      </c>
      <c r="T932" s="8">
        <f t="shared" si="175"/>
        <v>1</v>
      </c>
      <c r="U932" s="8" t="b">
        <f>NOT(ISNA(MATCH($P932,Packages!$A:$A,0)))</f>
        <v>1</v>
      </c>
    </row>
    <row r="933" spans="1:21" hidden="1">
      <c r="A933" s="6" t="s">
        <v>47</v>
      </c>
      <c r="B933" s="6" t="s">
        <v>53</v>
      </c>
      <c r="C933" s="33">
        <v>330</v>
      </c>
      <c r="D933" s="34">
        <v>50</v>
      </c>
      <c r="E933" s="6" t="s">
        <v>124</v>
      </c>
      <c r="F933" s="6" t="s">
        <v>59</v>
      </c>
      <c r="G933" s="6"/>
      <c r="H933" s="7" t="s">
        <v>141</v>
      </c>
      <c r="I933" s="7" t="str">
        <f t="shared" si="177"/>
        <v>JAMICON</v>
      </c>
      <c r="J933" s="7" t="str">
        <f t="shared" si="178"/>
        <v>330µF 50v</v>
      </c>
      <c r="K933" s="7"/>
      <c r="L933" s="7" t="str">
        <f t="shared" si="176"/>
        <v>WL</v>
      </c>
      <c r="M933" s="31">
        <f t="shared" si="170"/>
        <v>12.5</v>
      </c>
      <c r="N933" s="31">
        <f t="shared" si="171"/>
        <v>18</v>
      </c>
      <c r="O933" s="8" t="str">
        <f t="shared" si="172"/>
        <v>Jamicon-WL</v>
      </c>
      <c r="P933" s="12" t="str">
        <f t="shared" si="168"/>
        <v>Jamicon R-13.0x18.0</v>
      </c>
      <c r="Q933" s="12" t="str">
        <f t="shared" si="173"/>
        <v>330µF</v>
      </c>
      <c r="R933" s="12" t="str">
        <f t="shared" si="174"/>
        <v>50v</v>
      </c>
      <c r="S933" s="8" t="str">
        <f t="shared" si="169"/>
        <v>330µF 50v - R12.5-18.0 Jamicon (WL)</v>
      </c>
      <c r="T933" s="8">
        <f t="shared" si="175"/>
        <v>1</v>
      </c>
      <c r="U933" s="8" t="b">
        <f>NOT(ISNA(MATCH($P933,Packages!$A:$A,0)))</f>
        <v>1</v>
      </c>
    </row>
    <row r="934" spans="1:21" hidden="1">
      <c r="A934" s="6" t="s">
        <v>47</v>
      </c>
      <c r="B934" s="6" t="s">
        <v>53</v>
      </c>
      <c r="C934" s="33">
        <v>390</v>
      </c>
      <c r="D934" s="34">
        <v>50</v>
      </c>
      <c r="E934" s="6" t="s">
        <v>123</v>
      </c>
      <c r="F934" s="6" t="s">
        <v>59</v>
      </c>
      <c r="G934" s="6"/>
      <c r="H934" s="7" t="s">
        <v>141</v>
      </c>
      <c r="I934" s="7" t="str">
        <f t="shared" si="177"/>
        <v>JAMICON</v>
      </c>
      <c r="J934" s="7" t="str">
        <f t="shared" si="178"/>
        <v>390µF 50v</v>
      </c>
      <c r="K934" s="7"/>
      <c r="L934" s="7" t="str">
        <f t="shared" si="176"/>
        <v>WL</v>
      </c>
      <c r="M934" s="31">
        <f t="shared" si="170"/>
        <v>10</v>
      </c>
      <c r="N934" s="31">
        <f t="shared" si="171"/>
        <v>25</v>
      </c>
      <c r="O934" s="8" t="str">
        <f t="shared" si="172"/>
        <v>Jamicon-WL</v>
      </c>
      <c r="P934" s="12" t="str">
        <f t="shared" si="168"/>
        <v>Jamicon R-10.0x25.0</v>
      </c>
      <c r="Q934" s="12" t="str">
        <f t="shared" si="173"/>
        <v>390µF</v>
      </c>
      <c r="R934" s="12" t="str">
        <f t="shared" si="174"/>
        <v>50v</v>
      </c>
      <c r="S934" s="8" t="str">
        <f t="shared" si="169"/>
        <v>390µF 50v - R10.0-25.0 Jamicon (WL)</v>
      </c>
      <c r="T934" s="8">
        <f t="shared" si="175"/>
        <v>1</v>
      </c>
      <c r="U934" s="8" t="b">
        <f>NOT(ISNA(MATCH($P934,Packages!$A:$A,0)))</f>
        <v>1</v>
      </c>
    </row>
    <row r="935" spans="1:21" hidden="1">
      <c r="A935" s="6" t="s">
        <v>47</v>
      </c>
      <c r="B935" s="6" t="s">
        <v>53</v>
      </c>
      <c r="C935" s="33">
        <v>390</v>
      </c>
      <c r="D935" s="34">
        <v>50</v>
      </c>
      <c r="E935" s="6" t="s">
        <v>124</v>
      </c>
      <c r="F935" s="6" t="s">
        <v>59</v>
      </c>
      <c r="G935" s="6"/>
      <c r="H935" s="7" t="s">
        <v>141</v>
      </c>
      <c r="I935" s="7" t="str">
        <f t="shared" si="177"/>
        <v>JAMICON</v>
      </c>
      <c r="J935" s="7" t="str">
        <f t="shared" si="178"/>
        <v>390µF 50v</v>
      </c>
      <c r="K935" s="7"/>
      <c r="L935" s="7" t="str">
        <f t="shared" si="176"/>
        <v>WL</v>
      </c>
      <c r="M935" s="31">
        <f t="shared" si="170"/>
        <v>12.5</v>
      </c>
      <c r="N935" s="31">
        <f t="shared" si="171"/>
        <v>18</v>
      </c>
      <c r="O935" s="8" t="str">
        <f t="shared" si="172"/>
        <v>Jamicon-WL</v>
      </c>
      <c r="P935" s="12" t="str">
        <f t="shared" si="168"/>
        <v>Jamicon R-13.0x18.0</v>
      </c>
      <c r="Q935" s="12" t="str">
        <f t="shared" si="173"/>
        <v>390µF</v>
      </c>
      <c r="R935" s="12" t="str">
        <f t="shared" si="174"/>
        <v>50v</v>
      </c>
      <c r="S935" s="8" t="str">
        <f t="shared" si="169"/>
        <v>390µF 50v - R12.5-18.0 Jamicon (WL)</v>
      </c>
      <c r="T935" s="8">
        <f t="shared" si="175"/>
        <v>1</v>
      </c>
      <c r="U935" s="8" t="b">
        <f>NOT(ISNA(MATCH($P935,Packages!$A:$A,0)))</f>
        <v>1</v>
      </c>
    </row>
    <row r="936" spans="1:21" hidden="1">
      <c r="A936" s="6" t="s">
        <v>47</v>
      </c>
      <c r="B936" s="6" t="s">
        <v>53</v>
      </c>
      <c r="C936" s="33">
        <v>470</v>
      </c>
      <c r="D936" s="34">
        <v>50</v>
      </c>
      <c r="E936" s="6" t="s">
        <v>95</v>
      </c>
      <c r="F936" s="6" t="s">
        <v>59</v>
      </c>
      <c r="G936" s="6"/>
      <c r="H936" s="7" t="s">
        <v>141</v>
      </c>
      <c r="I936" s="7" t="str">
        <f t="shared" si="177"/>
        <v>JAMICON</v>
      </c>
      <c r="J936" s="7" t="str">
        <f t="shared" si="178"/>
        <v>470µF 50v</v>
      </c>
      <c r="K936" s="7"/>
      <c r="L936" s="7" t="str">
        <f t="shared" si="176"/>
        <v>WL</v>
      </c>
      <c r="M936" s="31">
        <f t="shared" si="170"/>
        <v>12.5</v>
      </c>
      <c r="N936" s="31">
        <f t="shared" si="171"/>
        <v>20</v>
      </c>
      <c r="O936" s="8" t="str">
        <f t="shared" si="172"/>
        <v>Jamicon-WL</v>
      </c>
      <c r="P936" s="12" t="str">
        <f t="shared" si="168"/>
        <v>Jamicon R-13.0x20.0</v>
      </c>
      <c r="Q936" s="12" t="str">
        <f t="shared" si="173"/>
        <v>470µF</v>
      </c>
      <c r="R936" s="12" t="str">
        <f t="shared" si="174"/>
        <v>50v</v>
      </c>
      <c r="S936" s="8" t="str">
        <f t="shared" si="169"/>
        <v>470µF 50v - R12.5-20.0 Jamicon (WL)</v>
      </c>
      <c r="T936" s="8">
        <f t="shared" si="175"/>
        <v>1</v>
      </c>
      <c r="U936" s="8" t="b">
        <f>NOT(ISNA(MATCH($P936,Packages!$A:$A,0)))</f>
        <v>1</v>
      </c>
    </row>
    <row r="937" spans="1:21" hidden="1">
      <c r="A937" s="6" t="s">
        <v>47</v>
      </c>
      <c r="B937" s="6" t="s">
        <v>53</v>
      </c>
      <c r="C937" s="33">
        <v>470</v>
      </c>
      <c r="D937" s="34">
        <v>50</v>
      </c>
      <c r="E937" s="6" t="s">
        <v>126</v>
      </c>
      <c r="F937" s="6" t="s">
        <v>59</v>
      </c>
      <c r="G937" s="6"/>
      <c r="H937" s="7" t="s">
        <v>141</v>
      </c>
      <c r="I937" s="7" t="str">
        <f t="shared" si="177"/>
        <v>JAMICON</v>
      </c>
      <c r="J937" s="7" t="str">
        <f t="shared" si="178"/>
        <v>470µF 50v</v>
      </c>
      <c r="K937" s="7"/>
      <c r="L937" s="7" t="str">
        <f t="shared" si="176"/>
        <v>WL</v>
      </c>
      <c r="M937" s="31">
        <f t="shared" si="170"/>
        <v>16</v>
      </c>
      <c r="N937" s="31">
        <f t="shared" si="171"/>
        <v>15</v>
      </c>
      <c r="O937" s="8" t="str">
        <f t="shared" si="172"/>
        <v>Jamicon-WL</v>
      </c>
      <c r="P937" s="12" t="str">
        <f t="shared" si="168"/>
        <v>Jamicon R-16.0x15.0</v>
      </c>
      <c r="Q937" s="12" t="str">
        <f t="shared" si="173"/>
        <v>470µF</v>
      </c>
      <c r="R937" s="12" t="str">
        <f t="shared" si="174"/>
        <v>50v</v>
      </c>
      <c r="S937" s="8" t="str">
        <f t="shared" si="169"/>
        <v>470µF 50v - R16.0-15.0 Jamicon (WL)</v>
      </c>
      <c r="T937" s="8">
        <f t="shared" si="175"/>
        <v>1</v>
      </c>
      <c r="U937" s="8" t="b">
        <f>NOT(ISNA(MATCH($P937,Packages!$A:$A,0)))</f>
        <v>1</v>
      </c>
    </row>
    <row r="938" spans="1:21" hidden="1">
      <c r="A938" s="6" t="s">
        <v>47</v>
      </c>
      <c r="B938" s="6" t="s">
        <v>53</v>
      </c>
      <c r="C938" s="33">
        <v>560</v>
      </c>
      <c r="D938" s="34">
        <v>50</v>
      </c>
      <c r="E938" s="6" t="s">
        <v>96</v>
      </c>
      <c r="F938" s="6" t="s">
        <v>59</v>
      </c>
      <c r="G938" s="6"/>
      <c r="H938" s="7" t="s">
        <v>141</v>
      </c>
      <c r="I938" s="7" t="str">
        <f t="shared" si="177"/>
        <v>JAMICON</v>
      </c>
      <c r="J938" s="7" t="str">
        <f t="shared" si="178"/>
        <v>560µF 50v</v>
      </c>
      <c r="K938" s="7"/>
      <c r="L938" s="7" t="str">
        <f t="shared" si="176"/>
        <v>WL</v>
      </c>
      <c r="M938" s="31">
        <f t="shared" si="170"/>
        <v>12.5</v>
      </c>
      <c r="N938" s="31">
        <f t="shared" si="171"/>
        <v>25</v>
      </c>
      <c r="O938" s="8" t="str">
        <f t="shared" si="172"/>
        <v>Jamicon-WL</v>
      </c>
      <c r="P938" s="12" t="str">
        <f t="shared" si="168"/>
        <v>Jamicon R-13.0x25.0</v>
      </c>
      <c r="Q938" s="12" t="str">
        <f t="shared" si="173"/>
        <v>560µF</v>
      </c>
      <c r="R938" s="12" t="str">
        <f t="shared" si="174"/>
        <v>50v</v>
      </c>
      <c r="S938" s="8" t="str">
        <f t="shared" si="169"/>
        <v>560µF 50v - R12.5-25.0 Jamicon (WL)</v>
      </c>
      <c r="T938" s="8">
        <f t="shared" si="175"/>
        <v>1</v>
      </c>
      <c r="U938" s="8" t="b">
        <f>NOT(ISNA(MATCH($P938,Packages!$A:$A,0)))</f>
        <v>1</v>
      </c>
    </row>
    <row r="939" spans="1:21" hidden="1">
      <c r="A939" s="6" t="s">
        <v>47</v>
      </c>
      <c r="B939" s="6" t="s">
        <v>53</v>
      </c>
      <c r="C939" s="33">
        <v>560</v>
      </c>
      <c r="D939" s="34">
        <v>50</v>
      </c>
      <c r="E939" s="6" t="s">
        <v>127</v>
      </c>
      <c r="F939" s="6" t="s">
        <v>59</v>
      </c>
      <c r="G939" s="6"/>
      <c r="H939" s="7" t="s">
        <v>141</v>
      </c>
      <c r="I939" s="7" t="str">
        <f t="shared" si="177"/>
        <v>JAMICON</v>
      </c>
      <c r="J939" s="7" t="str">
        <f t="shared" si="178"/>
        <v>560µF 50v</v>
      </c>
      <c r="K939" s="7"/>
      <c r="L939" s="7" t="str">
        <f t="shared" si="176"/>
        <v>WL</v>
      </c>
      <c r="M939" s="31">
        <f t="shared" si="170"/>
        <v>18</v>
      </c>
      <c r="N939" s="31">
        <f t="shared" si="171"/>
        <v>15</v>
      </c>
      <c r="O939" s="8" t="str">
        <f t="shared" si="172"/>
        <v>Jamicon-WL</v>
      </c>
      <c r="P939" s="12" t="str">
        <f t="shared" si="168"/>
        <v>Jamicon R-18.0x15.0</v>
      </c>
      <c r="Q939" s="12" t="str">
        <f t="shared" si="173"/>
        <v>560µF</v>
      </c>
      <c r="R939" s="12" t="str">
        <f t="shared" si="174"/>
        <v>50v</v>
      </c>
      <c r="S939" s="8" t="str">
        <f t="shared" si="169"/>
        <v>560µF 50v - R18.0-15.0 Jamicon (WL)</v>
      </c>
      <c r="T939" s="8">
        <f t="shared" si="175"/>
        <v>1</v>
      </c>
      <c r="U939" s="8" t="b">
        <f>NOT(ISNA(MATCH($P939,Packages!$A:$A,0)))</f>
        <v>1</v>
      </c>
    </row>
    <row r="940" spans="1:21" hidden="1">
      <c r="A940" s="6" t="s">
        <v>47</v>
      </c>
      <c r="B940" s="6" t="s">
        <v>53</v>
      </c>
      <c r="C940" s="33">
        <v>680</v>
      </c>
      <c r="D940" s="34">
        <v>50</v>
      </c>
      <c r="E940" s="6" t="s">
        <v>128</v>
      </c>
      <c r="F940" s="6" t="s">
        <v>59</v>
      </c>
      <c r="G940" s="6"/>
      <c r="H940" s="7" t="s">
        <v>141</v>
      </c>
      <c r="I940" s="7" t="str">
        <f t="shared" si="177"/>
        <v>JAMICON</v>
      </c>
      <c r="J940" s="7" t="str">
        <f t="shared" si="178"/>
        <v>680µF 50v</v>
      </c>
      <c r="K940" s="7"/>
      <c r="L940" s="7" t="str">
        <f t="shared" si="176"/>
        <v>WL</v>
      </c>
      <c r="M940" s="31">
        <f t="shared" si="170"/>
        <v>12.5</v>
      </c>
      <c r="N940" s="31">
        <f t="shared" si="171"/>
        <v>30</v>
      </c>
      <c r="O940" s="8" t="str">
        <f t="shared" si="172"/>
        <v>Jamicon-WL</v>
      </c>
      <c r="P940" s="12" t="str">
        <f t="shared" si="168"/>
        <v>Jamicon R-13.0x30.0</v>
      </c>
      <c r="Q940" s="12" t="str">
        <f t="shared" si="173"/>
        <v>680µF</v>
      </c>
      <c r="R940" s="12" t="str">
        <f t="shared" si="174"/>
        <v>50v</v>
      </c>
      <c r="S940" s="8" t="str">
        <f t="shared" si="169"/>
        <v>680µF 50v - R12.5-30.0 Jamicon (WL)</v>
      </c>
      <c r="T940" s="8">
        <f t="shared" si="175"/>
        <v>1</v>
      </c>
      <c r="U940" s="8" t="b">
        <f>NOT(ISNA(MATCH($P940,Packages!$A:$A,0)))</f>
        <v>1</v>
      </c>
    </row>
    <row r="941" spans="1:21" hidden="1">
      <c r="A941" s="6" t="s">
        <v>47</v>
      </c>
      <c r="B941" s="6" t="s">
        <v>53</v>
      </c>
      <c r="C941" s="33">
        <v>680</v>
      </c>
      <c r="D941" s="34">
        <v>50</v>
      </c>
      <c r="E941" s="6" t="s">
        <v>129</v>
      </c>
      <c r="F941" s="6" t="s">
        <v>59</v>
      </c>
      <c r="G941" s="6"/>
      <c r="H941" s="7" t="s">
        <v>141</v>
      </c>
      <c r="I941" s="7" t="str">
        <f t="shared" si="177"/>
        <v>JAMICON</v>
      </c>
      <c r="J941" s="7" t="str">
        <f t="shared" si="178"/>
        <v>680µF 50v</v>
      </c>
      <c r="K941" s="7"/>
      <c r="L941" s="7" t="str">
        <f t="shared" si="176"/>
        <v>WL</v>
      </c>
      <c r="M941" s="31">
        <f t="shared" si="170"/>
        <v>16</v>
      </c>
      <c r="N941" s="31">
        <f t="shared" si="171"/>
        <v>20</v>
      </c>
      <c r="O941" s="8" t="str">
        <f t="shared" si="172"/>
        <v>Jamicon-WL</v>
      </c>
      <c r="P941" s="12" t="str">
        <f t="shared" si="168"/>
        <v>Jamicon R-16.0x20.0</v>
      </c>
      <c r="Q941" s="12" t="str">
        <f t="shared" si="173"/>
        <v>680µF</v>
      </c>
      <c r="R941" s="12" t="str">
        <f t="shared" si="174"/>
        <v>50v</v>
      </c>
      <c r="S941" s="8" t="str">
        <f t="shared" si="169"/>
        <v>680µF 50v - R16.0-20.0 Jamicon (WL)</v>
      </c>
      <c r="T941" s="8">
        <f t="shared" si="175"/>
        <v>1</v>
      </c>
      <c r="U941" s="8" t="b">
        <f>NOT(ISNA(MATCH($P941,Packages!$A:$A,0)))</f>
        <v>1</v>
      </c>
    </row>
    <row r="942" spans="1:21" hidden="1">
      <c r="A942" s="6" t="s">
        <v>47</v>
      </c>
      <c r="B942" s="6" t="s">
        <v>53</v>
      </c>
      <c r="C942" s="33">
        <v>820</v>
      </c>
      <c r="D942" s="34">
        <v>50</v>
      </c>
      <c r="E942" s="6" t="s">
        <v>130</v>
      </c>
      <c r="F942" s="6" t="s">
        <v>59</v>
      </c>
      <c r="G942" s="6"/>
      <c r="H942" s="7" t="s">
        <v>141</v>
      </c>
      <c r="I942" s="7" t="str">
        <f t="shared" si="177"/>
        <v>JAMICON</v>
      </c>
      <c r="J942" s="7" t="str">
        <f t="shared" si="178"/>
        <v>820µF 50v</v>
      </c>
      <c r="K942" s="7"/>
      <c r="L942" s="7" t="str">
        <f t="shared" si="176"/>
        <v>WL</v>
      </c>
      <c r="M942" s="31">
        <f t="shared" si="170"/>
        <v>12.5</v>
      </c>
      <c r="N942" s="31">
        <f t="shared" si="171"/>
        <v>35</v>
      </c>
      <c r="O942" s="8" t="str">
        <f t="shared" si="172"/>
        <v>Jamicon-WL</v>
      </c>
      <c r="P942" s="12" t="str">
        <f t="shared" si="168"/>
        <v>Jamicon R-13.0x35.0</v>
      </c>
      <c r="Q942" s="12" t="str">
        <f t="shared" si="173"/>
        <v>820µF</v>
      </c>
      <c r="R942" s="12" t="str">
        <f t="shared" si="174"/>
        <v>50v</v>
      </c>
      <c r="S942" s="8" t="str">
        <f t="shared" si="169"/>
        <v>820µF 50v - R12.5-35.0 Jamicon (WL)</v>
      </c>
      <c r="T942" s="8">
        <f t="shared" si="175"/>
        <v>1</v>
      </c>
      <c r="U942" s="8" t="b">
        <f>NOT(ISNA(MATCH($P942,Packages!$A:$A,0)))</f>
        <v>1</v>
      </c>
    </row>
    <row r="943" spans="1:21" hidden="1">
      <c r="A943" s="6" t="s">
        <v>47</v>
      </c>
      <c r="B943" s="6" t="s">
        <v>53</v>
      </c>
      <c r="C943" s="33">
        <v>820</v>
      </c>
      <c r="D943" s="34">
        <v>50</v>
      </c>
      <c r="E943" s="6" t="s">
        <v>97</v>
      </c>
      <c r="F943" s="6" t="s">
        <v>59</v>
      </c>
      <c r="G943" s="6"/>
      <c r="H943" s="7" t="s">
        <v>141</v>
      </c>
      <c r="I943" s="7" t="str">
        <f t="shared" si="177"/>
        <v>JAMICON</v>
      </c>
      <c r="J943" s="7" t="str">
        <f t="shared" si="178"/>
        <v>820µF 50v</v>
      </c>
      <c r="K943" s="7"/>
      <c r="L943" s="7" t="str">
        <f t="shared" si="176"/>
        <v>WL</v>
      </c>
      <c r="M943" s="31">
        <f t="shared" si="170"/>
        <v>16</v>
      </c>
      <c r="N943" s="31">
        <f t="shared" si="171"/>
        <v>25</v>
      </c>
      <c r="O943" s="8" t="str">
        <f t="shared" si="172"/>
        <v>Jamicon-WL</v>
      </c>
      <c r="P943" s="12" t="str">
        <f t="shared" si="168"/>
        <v>Jamicon R-16.0x25.0</v>
      </c>
      <c r="Q943" s="12" t="str">
        <f t="shared" si="173"/>
        <v>820µF</v>
      </c>
      <c r="R943" s="12" t="str">
        <f t="shared" si="174"/>
        <v>50v</v>
      </c>
      <c r="S943" s="8" t="str">
        <f t="shared" si="169"/>
        <v>820µF 50v - R16.0-25.0 Jamicon (WL)</v>
      </c>
      <c r="T943" s="8">
        <f t="shared" si="175"/>
        <v>1</v>
      </c>
      <c r="U943" s="8" t="b">
        <f>NOT(ISNA(MATCH($P943,Packages!$A:$A,0)))</f>
        <v>1</v>
      </c>
    </row>
    <row r="944" spans="1:21" hidden="1">
      <c r="A944" s="6" t="s">
        <v>47</v>
      </c>
      <c r="B944" s="6" t="s">
        <v>53</v>
      </c>
      <c r="C944" s="33">
        <v>1000</v>
      </c>
      <c r="D944" s="34">
        <v>50</v>
      </c>
      <c r="E944" s="6" t="s">
        <v>131</v>
      </c>
      <c r="F944" s="6" t="s">
        <v>59</v>
      </c>
      <c r="G944" s="6"/>
      <c r="H944" s="7" t="s">
        <v>141</v>
      </c>
      <c r="I944" s="7" t="str">
        <f t="shared" si="177"/>
        <v>JAMICON</v>
      </c>
      <c r="J944" s="7" t="str">
        <f t="shared" si="178"/>
        <v>1000µF 50v</v>
      </c>
      <c r="K944" s="7"/>
      <c r="L944" s="7" t="str">
        <f t="shared" si="176"/>
        <v>WL</v>
      </c>
      <c r="M944" s="31">
        <f t="shared" si="170"/>
        <v>12.5</v>
      </c>
      <c r="N944" s="31">
        <f t="shared" si="171"/>
        <v>40</v>
      </c>
      <c r="O944" s="8" t="str">
        <f t="shared" si="172"/>
        <v>Jamicon-WL</v>
      </c>
      <c r="P944" s="12" t="str">
        <f t="shared" si="168"/>
        <v>Jamicon R-13.0x40.0</v>
      </c>
      <c r="Q944" s="12" t="str">
        <f t="shared" si="173"/>
        <v>1000µF</v>
      </c>
      <c r="R944" s="12" t="str">
        <f t="shared" si="174"/>
        <v>50v</v>
      </c>
      <c r="S944" s="8" t="str">
        <f t="shared" si="169"/>
        <v>1000µF 50v - R12.5-40.0 Jamicon (WL)</v>
      </c>
      <c r="T944" s="8">
        <f t="shared" si="175"/>
        <v>1</v>
      </c>
      <c r="U944" s="8" t="b">
        <f>NOT(ISNA(MATCH($P944,Packages!$A:$A,0)))</f>
        <v>1</v>
      </c>
    </row>
    <row r="945" spans="1:21" hidden="1">
      <c r="A945" s="6" t="s">
        <v>47</v>
      </c>
      <c r="B945" s="6" t="s">
        <v>53</v>
      </c>
      <c r="C945" s="33">
        <v>1000</v>
      </c>
      <c r="D945" s="34">
        <v>50</v>
      </c>
      <c r="E945" s="6" t="s">
        <v>132</v>
      </c>
      <c r="F945" s="6" t="s">
        <v>59</v>
      </c>
      <c r="G945" s="6"/>
      <c r="H945" s="7" t="s">
        <v>141</v>
      </c>
      <c r="I945" s="7" t="str">
        <f t="shared" si="177"/>
        <v>JAMICON</v>
      </c>
      <c r="J945" s="7" t="str">
        <f t="shared" si="178"/>
        <v>1000µF 50v</v>
      </c>
      <c r="K945" s="7"/>
      <c r="L945" s="7" t="str">
        <f t="shared" si="176"/>
        <v>WL</v>
      </c>
      <c r="M945" s="31">
        <f t="shared" si="170"/>
        <v>18</v>
      </c>
      <c r="N945" s="31">
        <f t="shared" si="171"/>
        <v>20</v>
      </c>
      <c r="O945" s="8" t="str">
        <f t="shared" si="172"/>
        <v>Jamicon-WL</v>
      </c>
      <c r="P945" s="12" t="str">
        <f t="shared" si="168"/>
        <v>Jamicon R-18.0x20.0</v>
      </c>
      <c r="Q945" s="12" t="str">
        <f t="shared" si="173"/>
        <v>1000µF</v>
      </c>
      <c r="R945" s="12" t="str">
        <f t="shared" si="174"/>
        <v>50v</v>
      </c>
      <c r="S945" s="8" t="str">
        <f t="shared" si="169"/>
        <v>1000µF 50v - R18.0-20.0 Jamicon (WL)</v>
      </c>
      <c r="T945" s="8">
        <f t="shared" si="175"/>
        <v>1</v>
      </c>
      <c r="U945" s="8" t="b">
        <f>NOT(ISNA(MATCH($P945,Packages!$A:$A,0)))</f>
        <v>1</v>
      </c>
    </row>
    <row r="946" spans="1:21" hidden="1">
      <c r="A946" s="6" t="s">
        <v>47</v>
      </c>
      <c r="B946" s="6" t="s">
        <v>53</v>
      </c>
      <c r="C946" s="33">
        <v>1200</v>
      </c>
      <c r="D946" s="34">
        <v>50</v>
      </c>
      <c r="E946" s="6" t="s">
        <v>98</v>
      </c>
      <c r="F946" s="6" t="s">
        <v>59</v>
      </c>
      <c r="G946" s="6"/>
      <c r="H946" s="7" t="s">
        <v>141</v>
      </c>
      <c r="I946" s="7" t="str">
        <f t="shared" si="177"/>
        <v>JAMICON</v>
      </c>
      <c r="J946" s="7" t="str">
        <f t="shared" si="178"/>
        <v>1200µF 50v</v>
      </c>
      <c r="K946" s="7"/>
      <c r="L946" s="7" t="str">
        <f t="shared" si="176"/>
        <v>WL</v>
      </c>
      <c r="M946" s="31">
        <f t="shared" si="170"/>
        <v>16</v>
      </c>
      <c r="N946" s="31">
        <f t="shared" si="171"/>
        <v>31.5</v>
      </c>
      <c r="O946" s="8" t="str">
        <f t="shared" si="172"/>
        <v>Jamicon-WL</v>
      </c>
      <c r="P946" s="12" t="str">
        <f t="shared" si="168"/>
        <v>Jamicon R-16.0x32.0</v>
      </c>
      <c r="Q946" s="12" t="str">
        <f t="shared" si="173"/>
        <v>1200µF</v>
      </c>
      <c r="R946" s="12" t="str">
        <f t="shared" si="174"/>
        <v>50v</v>
      </c>
      <c r="S946" s="8" t="str">
        <f t="shared" si="169"/>
        <v>1200µF 50v - R16.0-31.5 Jamicon (WL)</v>
      </c>
      <c r="T946" s="8">
        <f t="shared" si="175"/>
        <v>1</v>
      </c>
      <c r="U946" s="8" t="b">
        <f>NOT(ISNA(MATCH($P946,Packages!$A:$A,0)))</f>
        <v>1</v>
      </c>
    </row>
    <row r="947" spans="1:21" hidden="1">
      <c r="A947" s="6" t="s">
        <v>47</v>
      </c>
      <c r="B947" s="6" t="s">
        <v>53</v>
      </c>
      <c r="C947" s="33">
        <v>1200</v>
      </c>
      <c r="D947" s="34">
        <v>50</v>
      </c>
      <c r="E947" s="6" t="s">
        <v>133</v>
      </c>
      <c r="F947" s="6" t="s">
        <v>59</v>
      </c>
      <c r="G947" s="6"/>
      <c r="H947" s="7" t="s">
        <v>141</v>
      </c>
      <c r="I947" s="7" t="str">
        <f t="shared" si="177"/>
        <v>JAMICON</v>
      </c>
      <c r="J947" s="7" t="str">
        <f t="shared" si="178"/>
        <v>1200µF 50v</v>
      </c>
      <c r="K947" s="7"/>
      <c r="L947" s="7" t="str">
        <f t="shared" si="176"/>
        <v>WL</v>
      </c>
      <c r="M947" s="31">
        <f t="shared" si="170"/>
        <v>18</v>
      </c>
      <c r="N947" s="31">
        <f t="shared" si="171"/>
        <v>25</v>
      </c>
      <c r="O947" s="8" t="str">
        <f t="shared" si="172"/>
        <v>Jamicon-WL</v>
      </c>
      <c r="P947" s="12" t="str">
        <f t="shared" si="168"/>
        <v>Jamicon R-18.0x25.0</v>
      </c>
      <c r="Q947" s="12" t="str">
        <f t="shared" si="173"/>
        <v>1200µF</v>
      </c>
      <c r="R947" s="12" t="str">
        <f t="shared" si="174"/>
        <v>50v</v>
      </c>
      <c r="S947" s="8" t="str">
        <f t="shared" si="169"/>
        <v>1200µF 50v - R18.0-25.0 Jamicon (WL)</v>
      </c>
      <c r="T947" s="8">
        <f t="shared" si="175"/>
        <v>1</v>
      </c>
      <c r="U947" s="8" t="b">
        <f>NOT(ISNA(MATCH($P947,Packages!$A:$A,0)))</f>
        <v>1</v>
      </c>
    </row>
    <row r="948" spans="1:21" hidden="1">
      <c r="A948" s="6" t="s">
        <v>47</v>
      </c>
      <c r="B948" s="6" t="s">
        <v>53</v>
      </c>
      <c r="C948" s="33">
        <v>1500</v>
      </c>
      <c r="D948" s="34">
        <v>50</v>
      </c>
      <c r="E948" s="6" t="s">
        <v>99</v>
      </c>
      <c r="F948" s="6" t="s">
        <v>59</v>
      </c>
      <c r="G948" s="6"/>
      <c r="H948" s="7" t="s">
        <v>141</v>
      </c>
      <c r="I948" s="7" t="str">
        <f t="shared" si="177"/>
        <v>JAMICON</v>
      </c>
      <c r="J948" s="7" t="str">
        <f t="shared" si="178"/>
        <v>1500µF 50v</v>
      </c>
      <c r="K948" s="7"/>
      <c r="L948" s="7" t="str">
        <f t="shared" si="176"/>
        <v>WL</v>
      </c>
      <c r="M948" s="31">
        <f t="shared" si="170"/>
        <v>16</v>
      </c>
      <c r="N948" s="31">
        <f t="shared" si="171"/>
        <v>35.5</v>
      </c>
      <c r="O948" s="8" t="str">
        <f t="shared" si="172"/>
        <v>Jamicon-WL</v>
      </c>
      <c r="P948" s="12" t="str">
        <f t="shared" si="168"/>
        <v>Jamicon R-16.0x36.0</v>
      </c>
      <c r="Q948" s="12" t="str">
        <f t="shared" si="173"/>
        <v>1500µF</v>
      </c>
      <c r="R948" s="12" t="str">
        <f t="shared" si="174"/>
        <v>50v</v>
      </c>
      <c r="S948" s="8" t="str">
        <f t="shared" si="169"/>
        <v>1500µF 50v - R16.0-35.5 Jamicon (WL)</v>
      </c>
      <c r="T948" s="8">
        <f t="shared" si="175"/>
        <v>1</v>
      </c>
      <c r="U948" s="8" t="b">
        <f>NOT(ISNA(MATCH($P948,Packages!$A:$A,0)))</f>
        <v>1</v>
      </c>
    </row>
    <row r="949" spans="1:21" hidden="1">
      <c r="A949" s="6" t="s">
        <v>47</v>
      </c>
      <c r="B949" s="6" t="s">
        <v>53</v>
      </c>
      <c r="C949" s="33">
        <v>1500</v>
      </c>
      <c r="D949" s="34">
        <v>50</v>
      </c>
      <c r="E949" s="6" t="s">
        <v>134</v>
      </c>
      <c r="F949" s="6" t="s">
        <v>59</v>
      </c>
      <c r="G949" s="6"/>
      <c r="H949" s="7" t="s">
        <v>141</v>
      </c>
      <c r="I949" s="7" t="str">
        <f t="shared" si="177"/>
        <v>JAMICON</v>
      </c>
      <c r="J949" s="7" t="str">
        <f t="shared" si="178"/>
        <v>1500µF 50v</v>
      </c>
      <c r="K949" s="7"/>
      <c r="L949" s="7" t="str">
        <f t="shared" si="176"/>
        <v>WL</v>
      </c>
      <c r="M949" s="31">
        <f t="shared" si="170"/>
        <v>18</v>
      </c>
      <c r="N949" s="31">
        <f t="shared" si="171"/>
        <v>31.5</v>
      </c>
      <c r="O949" s="8" t="str">
        <f t="shared" si="172"/>
        <v>Jamicon-WL</v>
      </c>
      <c r="P949" s="12" t="str">
        <f t="shared" si="168"/>
        <v>Jamicon R-18.0x32.0</v>
      </c>
      <c r="Q949" s="12" t="str">
        <f t="shared" si="173"/>
        <v>1500µF</v>
      </c>
      <c r="R949" s="12" t="str">
        <f t="shared" si="174"/>
        <v>50v</v>
      </c>
      <c r="S949" s="8" t="str">
        <f t="shared" si="169"/>
        <v>1500µF 50v - R18.0-31.5 Jamicon (WL)</v>
      </c>
      <c r="T949" s="8">
        <f t="shared" si="175"/>
        <v>1</v>
      </c>
      <c r="U949" s="8" t="b">
        <f>NOT(ISNA(MATCH($P949,Packages!$A:$A,0)))</f>
        <v>1</v>
      </c>
    </row>
    <row r="950" spans="1:21" hidden="1">
      <c r="A950" s="6" t="s">
        <v>47</v>
      </c>
      <c r="B950" s="6" t="s">
        <v>53</v>
      </c>
      <c r="C950" s="33">
        <v>1</v>
      </c>
      <c r="D950" s="34">
        <v>63</v>
      </c>
      <c r="E950" s="6" t="s">
        <v>68</v>
      </c>
      <c r="F950" s="6" t="s">
        <v>59</v>
      </c>
      <c r="G950" s="6"/>
      <c r="H950" s="7" t="s">
        <v>141</v>
      </c>
      <c r="I950" s="7" t="str">
        <f t="shared" si="177"/>
        <v>JAMICON</v>
      </c>
      <c r="J950" s="7" t="str">
        <f t="shared" si="178"/>
        <v>1µF 63v</v>
      </c>
      <c r="K950" s="7"/>
      <c r="L950" s="7" t="str">
        <f t="shared" si="176"/>
        <v>WL</v>
      </c>
      <c r="M950" s="31">
        <f t="shared" si="170"/>
        <v>5</v>
      </c>
      <c r="N950" s="31">
        <f t="shared" si="171"/>
        <v>11</v>
      </c>
      <c r="O950" s="8" t="str">
        <f t="shared" si="172"/>
        <v>Jamicon-WL</v>
      </c>
      <c r="P950" s="12" t="str">
        <f t="shared" si="168"/>
        <v>Jamicon R-05.0x11.0</v>
      </c>
      <c r="Q950" s="12" t="str">
        <f t="shared" si="173"/>
        <v>1µF</v>
      </c>
      <c r="R950" s="12" t="str">
        <f t="shared" si="174"/>
        <v>63v</v>
      </c>
      <c r="S950" s="8" t="str">
        <f t="shared" si="169"/>
        <v>1µF 63v - R05.0-11.0 Jamicon (WL)</v>
      </c>
      <c r="T950" s="8">
        <f t="shared" si="175"/>
        <v>1</v>
      </c>
      <c r="U950" s="8" t="b">
        <f>NOT(ISNA(MATCH($P950,Packages!$A:$A,0)))</f>
        <v>1</v>
      </c>
    </row>
    <row r="951" spans="1:21" hidden="1">
      <c r="A951" s="6" t="s">
        <v>47</v>
      </c>
      <c r="B951" s="6" t="s">
        <v>53</v>
      </c>
      <c r="C951" s="33">
        <v>2.2000000000000002</v>
      </c>
      <c r="D951" s="34">
        <v>63</v>
      </c>
      <c r="E951" s="6" t="s">
        <v>68</v>
      </c>
      <c r="F951" s="6" t="s">
        <v>59</v>
      </c>
      <c r="G951" s="6"/>
      <c r="H951" s="7" t="s">
        <v>141</v>
      </c>
      <c r="I951" s="7" t="str">
        <f t="shared" si="177"/>
        <v>JAMICON</v>
      </c>
      <c r="J951" s="7" t="str">
        <f t="shared" si="178"/>
        <v>2.2µF 63v</v>
      </c>
      <c r="K951" s="7"/>
      <c r="L951" s="7" t="str">
        <f t="shared" si="176"/>
        <v>WL</v>
      </c>
      <c r="M951" s="31">
        <f t="shared" si="170"/>
        <v>5</v>
      </c>
      <c r="N951" s="31">
        <f t="shared" si="171"/>
        <v>11</v>
      </c>
      <c r="O951" s="8" t="str">
        <f t="shared" si="172"/>
        <v>Jamicon-WL</v>
      </c>
      <c r="P951" s="12" t="str">
        <f t="shared" si="168"/>
        <v>Jamicon R-05.0x11.0</v>
      </c>
      <c r="Q951" s="12" t="str">
        <f t="shared" si="173"/>
        <v>2.2µF</v>
      </c>
      <c r="R951" s="12" t="str">
        <f t="shared" si="174"/>
        <v>63v</v>
      </c>
      <c r="S951" s="8" t="str">
        <f t="shared" si="169"/>
        <v>2.2µF 63v - R05.0-11.0 Jamicon (WL)</v>
      </c>
      <c r="T951" s="8">
        <f t="shared" si="175"/>
        <v>1</v>
      </c>
      <c r="U951" s="8" t="b">
        <f>NOT(ISNA(MATCH($P951,Packages!$A:$A,0)))</f>
        <v>1</v>
      </c>
    </row>
    <row r="952" spans="1:21" hidden="1">
      <c r="A952" s="6" t="s">
        <v>47</v>
      </c>
      <c r="B952" s="6" t="s">
        <v>53</v>
      </c>
      <c r="C952" s="33">
        <v>3.3</v>
      </c>
      <c r="D952" s="34">
        <v>63</v>
      </c>
      <c r="E952" s="6" t="s">
        <v>68</v>
      </c>
      <c r="F952" s="6" t="s">
        <v>59</v>
      </c>
      <c r="G952" s="6"/>
      <c r="H952" s="7" t="s">
        <v>141</v>
      </c>
      <c r="I952" s="7" t="str">
        <f t="shared" si="177"/>
        <v>JAMICON</v>
      </c>
      <c r="J952" s="7" t="str">
        <f t="shared" si="178"/>
        <v>3.3µF 63v</v>
      </c>
      <c r="K952" s="7"/>
      <c r="L952" s="7" t="str">
        <f t="shared" si="176"/>
        <v>WL</v>
      </c>
      <c r="M952" s="31">
        <f t="shared" si="170"/>
        <v>5</v>
      </c>
      <c r="N952" s="31">
        <f t="shared" si="171"/>
        <v>11</v>
      </c>
      <c r="O952" s="8" t="str">
        <f t="shared" si="172"/>
        <v>Jamicon-WL</v>
      </c>
      <c r="P952" s="12" t="str">
        <f t="shared" si="168"/>
        <v>Jamicon R-05.0x11.0</v>
      </c>
      <c r="Q952" s="12" t="str">
        <f t="shared" si="173"/>
        <v>3.3µF</v>
      </c>
      <c r="R952" s="12" t="str">
        <f t="shared" si="174"/>
        <v>63v</v>
      </c>
      <c r="S952" s="8" t="str">
        <f t="shared" si="169"/>
        <v>3.3µF 63v - R05.0-11.0 Jamicon (WL)</v>
      </c>
      <c r="T952" s="8">
        <f t="shared" si="175"/>
        <v>1</v>
      </c>
      <c r="U952" s="8" t="b">
        <f>NOT(ISNA(MATCH($P952,Packages!$A:$A,0)))</f>
        <v>1</v>
      </c>
    </row>
    <row r="953" spans="1:21" hidden="1">
      <c r="A953" s="6" t="s">
        <v>47</v>
      </c>
      <c r="B953" s="6" t="s">
        <v>53</v>
      </c>
      <c r="C953" s="33">
        <v>4.7</v>
      </c>
      <c r="D953" s="34">
        <v>63</v>
      </c>
      <c r="E953" s="6" t="s">
        <v>68</v>
      </c>
      <c r="F953" s="6" t="s">
        <v>59</v>
      </c>
      <c r="G953" s="6"/>
      <c r="H953" s="7" t="s">
        <v>141</v>
      </c>
      <c r="I953" s="7" t="str">
        <f t="shared" si="177"/>
        <v>JAMICON</v>
      </c>
      <c r="J953" s="7" t="str">
        <f t="shared" si="178"/>
        <v>4.7µF 63v</v>
      </c>
      <c r="K953" s="7"/>
      <c r="L953" s="7" t="str">
        <f t="shared" si="176"/>
        <v>WL</v>
      </c>
      <c r="M953" s="31">
        <f t="shared" si="170"/>
        <v>5</v>
      </c>
      <c r="N953" s="31">
        <f t="shared" si="171"/>
        <v>11</v>
      </c>
      <c r="O953" s="8" t="str">
        <f t="shared" si="172"/>
        <v>Jamicon-WL</v>
      </c>
      <c r="P953" s="12" t="str">
        <f t="shared" si="168"/>
        <v>Jamicon R-05.0x11.0</v>
      </c>
      <c r="Q953" s="12" t="str">
        <f t="shared" si="173"/>
        <v>4.7µF</v>
      </c>
      <c r="R953" s="12" t="str">
        <f t="shared" si="174"/>
        <v>63v</v>
      </c>
      <c r="S953" s="8" t="str">
        <f t="shared" si="169"/>
        <v>4.7µF 63v - R05.0-11.0 Jamicon (WL)</v>
      </c>
      <c r="T953" s="8">
        <f t="shared" si="175"/>
        <v>1</v>
      </c>
      <c r="U953" s="8" t="b">
        <f>NOT(ISNA(MATCH($P953,Packages!$A:$A,0)))</f>
        <v>1</v>
      </c>
    </row>
    <row r="954" spans="1:21" hidden="1">
      <c r="A954" s="6" t="s">
        <v>47</v>
      </c>
      <c r="B954" s="6" t="s">
        <v>53</v>
      </c>
      <c r="C954" s="33">
        <v>10</v>
      </c>
      <c r="D954" s="34">
        <v>63</v>
      </c>
      <c r="E954" s="6" t="s">
        <v>68</v>
      </c>
      <c r="F954" s="6" t="s">
        <v>59</v>
      </c>
      <c r="G954" s="6"/>
      <c r="H954" s="7" t="s">
        <v>141</v>
      </c>
      <c r="I954" s="7" t="str">
        <f t="shared" si="177"/>
        <v>JAMICON</v>
      </c>
      <c r="J954" s="7" t="str">
        <f t="shared" si="178"/>
        <v>10µF 63v</v>
      </c>
      <c r="K954" s="7"/>
      <c r="L954" s="7" t="str">
        <f t="shared" si="176"/>
        <v>WL</v>
      </c>
      <c r="M954" s="31">
        <f t="shared" si="170"/>
        <v>5</v>
      </c>
      <c r="N954" s="31">
        <f t="shared" si="171"/>
        <v>11</v>
      </c>
      <c r="O954" s="8" t="str">
        <f t="shared" si="172"/>
        <v>Jamicon-WL</v>
      </c>
      <c r="P954" s="12" t="str">
        <f t="shared" si="168"/>
        <v>Jamicon R-05.0x11.0</v>
      </c>
      <c r="Q954" s="12" t="str">
        <f t="shared" si="173"/>
        <v>10µF</v>
      </c>
      <c r="R954" s="12" t="str">
        <f t="shared" si="174"/>
        <v>63v</v>
      </c>
      <c r="S954" s="8" t="str">
        <f t="shared" si="169"/>
        <v>10µF 63v - R05.0-11.0 Jamicon (WL)</v>
      </c>
      <c r="T954" s="8">
        <f t="shared" si="175"/>
        <v>1</v>
      </c>
      <c r="U954" s="8" t="b">
        <f>NOT(ISNA(MATCH($P954,Packages!$A:$A,0)))</f>
        <v>1</v>
      </c>
    </row>
    <row r="955" spans="1:21" hidden="1">
      <c r="A955" s="6" t="s">
        <v>47</v>
      </c>
      <c r="B955" s="6" t="s">
        <v>53</v>
      </c>
      <c r="C955" s="33">
        <v>22</v>
      </c>
      <c r="D955" s="34">
        <v>63</v>
      </c>
      <c r="E955" s="6" t="s">
        <v>68</v>
      </c>
      <c r="F955" s="6" t="s">
        <v>59</v>
      </c>
      <c r="G955" s="6"/>
      <c r="H955" s="7" t="s">
        <v>141</v>
      </c>
      <c r="I955" s="7" t="str">
        <f t="shared" si="177"/>
        <v>JAMICON</v>
      </c>
      <c r="J955" s="7" t="str">
        <f t="shared" si="178"/>
        <v>22µF 63v</v>
      </c>
      <c r="K955" s="7"/>
      <c r="L955" s="7" t="str">
        <f t="shared" si="176"/>
        <v>WL</v>
      </c>
      <c r="M955" s="31">
        <f t="shared" si="170"/>
        <v>5</v>
      </c>
      <c r="N955" s="31">
        <f t="shared" si="171"/>
        <v>11</v>
      </c>
      <c r="O955" s="8" t="str">
        <f t="shared" si="172"/>
        <v>Jamicon-WL</v>
      </c>
      <c r="P955" s="12" t="str">
        <f t="shared" si="168"/>
        <v>Jamicon R-05.0x11.0</v>
      </c>
      <c r="Q955" s="12" t="str">
        <f t="shared" si="173"/>
        <v>22µF</v>
      </c>
      <c r="R955" s="12" t="str">
        <f t="shared" si="174"/>
        <v>63v</v>
      </c>
      <c r="S955" s="8" t="str">
        <f t="shared" si="169"/>
        <v>22µF 63v - R05.0-11.0 Jamicon (WL)</v>
      </c>
      <c r="T955" s="8">
        <f t="shared" si="175"/>
        <v>1</v>
      </c>
      <c r="U955" s="8" t="b">
        <f>NOT(ISNA(MATCH($P955,Packages!$A:$A,0)))</f>
        <v>1</v>
      </c>
    </row>
    <row r="956" spans="1:21" hidden="1">
      <c r="A956" s="6" t="s">
        <v>47</v>
      </c>
      <c r="B956" s="6" t="s">
        <v>53</v>
      </c>
      <c r="C956" s="33">
        <v>22</v>
      </c>
      <c r="D956" s="34">
        <v>63</v>
      </c>
      <c r="E956" s="6" t="s">
        <v>69</v>
      </c>
      <c r="F956" s="6" t="s">
        <v>59</v>
      </c>
      <c r="G956" s="6"/>
      <c r="H956" s="7" t="s">
        <v>141</v>
      </c>
      <c r="I956" s="7" t="str">
        <f t="shared" si="177"/>
        <v>JAMICON</v>
      </c>
      <c r="J956" s="7" t="str">
        <f t="shared" si="178"/>
        <v>22µF 63v</v>
      </c>
      <c r="K956" s="7"/>
      <c r="L956" s="7" t="str">
        <f t="shared" si="176"/>
        <v>WL</v>
      </c>
      <c r="M956" s="31">
        <f t="shared" si="170"/>
        <v>6.3</v>
      </c>
      <c r="N956" s="31">
        <f t="shared" si="171"/>
        <v>11</v>
      </c>
      <c r="O956" s="8" t="str">
        <f t="shared" si="172"/>
        <v>Jamicon-WL</v>
      </c>
      <c r="P956" s="12" t="str">
        <f t="shared" si="168"/>
        <v>Jamicon R-06.0x11.0</v>
      </c>
      <c r="Q956" s="12" t="str">
        <f t="shared" si="173"/>
        <v>22µF</v>
      </c>
      <c r="R956" s="12" t="str">
        <f t="shared" si="174"/>
        <v>63v</v>
      </c>
      <c r="S956" s="8" t="str">
        <f t="shared" si="169"/>
        <v>22µF 63v - R06.3-11.0 Jamicon (WL)</v>
      </c>
      <c r="T956" s="8">
        <f t="shared" si="175"/>
        <v>1</v>
      </c>
      <c r="U956" s="8" t="b">
        <f>NOT(ISNA(MATCH($P956,Packages!$A:$A,0)))</f>
        <v>1</v>
      </c>
    </row>
    <row r="957" spans="1:21" hidden="1">
      <c r="A957" s="6" t="s">
        <v>47</v>
      </c>
      <c r="B957" s="6" t="s">
        <v>53</v>
      </c>
      <c r="C957" s="33">
        <v>33</v>
      </c>
      <c r="D957" s="34">
        <v>63</v>
      </c>
      <c r="E957" s="6" t="s">
        <v>118</v>
      </c>
      <c r="F957" s="6" t="s">
        <v>59</v>
      </c>
      <c r="G957" s="6"/>
      <c r="H957" s="7" t="s">
        <v>141</v>
      </c>
      <c r="I957" s="7" t="str">
        <f t="shared" si="177"/>
        <v>JAMICON</v>
      </c>
      <c r="J957" s="7" t="str">
        <f t="shared" si="178"/>
        <v>33µF 63v</v>
      </c>
      <c r="K957" s="7"/>
      <c r="L957" s="7" t="str">
        <f t="shared" si="176"/>
        <v>WL</v>
      </c>
      <c r="M957" s="31">
        <f t="shared" si="170"/>
        <v>5</v>
      </c>
      <c r="N957" s="31">
        <f t="shared" si="171"/>
        <v>15</v>
      </c>
      <c r="O957" s="8" t="str">
        <f t="shared" si="172"/>
        <v>Jamicon-WL</v>
      </c>
      <c r="P957" s="12" t="str">
        <f t="shared" si="168"/>
        <v>Jamicon R-05.0x15.0</v>
      </c>
      <c r="Q957" s="12" t="str">
        <f t="shared" si="173"/>
        <v>33µF</v>
      </c>
      <c r="R957" s="12" t="str">
        <f t="shared" si="174"/>
        <v>63v</v>
      </c>
      <c r="S957" s="8" t="str">
        <f t="shared" si="169"/>
        <v>33µF 63v - R05.0-15.0 Jamicon (WL)</v>
      </c>
      <c r="T957" s="8">
        <f t="shared" si="175"/>
        <v>1</v>
      </c>
      <c r="U957" s="8" t="b">
        <f>NOT(ISNA(MATCH($P957,Packages!$A:$A,0)))</f>
        <v>1</v>
      </c>
    </row>
    <row r="958" spans="1:21" hidden="1">
      <c r="A958" s="6" t="s">
        <v>47</v>
      </c>
      <c r="B958" s="6" t="s">
        <v>53</v>
      </c>
      <c r="C958" s="33">
        <v>33</v>
      </c>
      <c r="D958" s="34">
        <v>63</v>
      </c>
      <c r="E958" s="6" t="s">
        <v>69</v>
      </c>
      <c r="F958" s="6" t="s">
        <v>59</v>
      </c>
      <c r="G958" s="6"/>
      <c r="H958" s="7" t="s">
        <v>141</v>
      </c>
      <c r="I958" s="7" t="str">
        <f t="shared" si="177"/>
        <v>JAMICON</v>
      </c>
      <c r="J958" s="7" t="str">
        <f t="shared" si="178"/>
        <v>33µF 63v</v>
      </c>
      <c r="K958" s="7"/>
      <c r="L958" s="7" t="str">
        <f t="shared" si="176"/>
        <v>WL</v>
      </c>
      <c r="M958" s="31">
        <f t="shared" si="170"/>
        <v>6.3</v>
      </c>
      <c r="N958" s="31">
        <f t="shared" si="171"/>
        <v>11</v>
      </c>
      <c r="O958" s="8" t="str">
        <f t="shared" si="172"/>
        <v>Jamicon-WL</v>
      </c>
      <c r="P958" s="12" t="str">
        <f t="shared" si="168"/>
        <v>Jamicon R-06.0x11.0</v>
      </c>
      <c r="Q958" s="12" t="str">
        <f t="shared" si="173"/>
        <v>33µF</v>
      </c>
      <c r="R958" s="12" t="str">
        <f t="shared" si="174"/>
        <v>63v</v>
      </c>
      <c r="S958" s="8" t="str">
        <f t="shared" si="169"/>
        <v>33µF 63v - R06.3-11.0 Jamicon (WL)</v>
      </c>
      <c r="T958" s="8">
        <f t="shared" si="175"/>
        <v>1</v>
      </c>
      <c r="U958" s="8" t="b">
        <f>NOT(ISNA(MATCH($P958,Packages!$A:$A,0)))</f>
        <v>1</v>
      </c>
    </row>
    <row r="959" spans="1:21" hidden="1">
      <c r="A959" s="6" t="s">
        <v>47</v>
      </c>
      <c r="B959" s="6" t="s">
        <v>53</v>
      </c>
      <c r="C959" s="33">
        <v>47</v>
      </c>
      <c r="D959" s="34">
        <v>63</v>
      </c>
      <c r="E959" s="6" t="s">
        <v>108</v>
      </c>
      <c r="F959" s="6" t="s">
        <v>59</v>
      </c>
      <c r="G959" s="6"/>
      <c r="H959" s="7" t="s">
        <v>141</v>
      </c>
      <c r="I959" s="7" t="str">
        <f t="shared" si="177"/>
        <v>JAMICON</v>
      </c>
      <c r="J959" s="7" t="str">
        <f t="shared" si="178"/>
        <v>47µF 63v</v>
      </c>
      <c r="K959" s="7"/>
      <c r="L959" s="7" t="str">
        <f t="shared" si="176"/>
        <v>WL</v>
      </c>
      <c r="M959" s="31">
        <f t="shared" si="170"/>
        <v>8</v>
      </c>
      <c r="N959" s="31">
        <f t="shared" si="171"/>
        <v>11.5</v>
      </c>
      <c r="O959" s="8" t="str">
        <f t="shared" si="172"/>
        <v>Jamicon-WL</v>
      </c>
      <c r="P959" s="12" t="str">
        <f t="shared" si="168"/>
        <v>Jamicon R-08.0x12.0</v>
      </c>
      <c r="Q959" s="12" t="str">
        <f t="shared" si="173"/>
        <v>47µF</v>
      </c>
      <c r="R959" s="12" t="str">
        <f t="shared" si="174"/>
        <v>63v</v>
      </c>
      <c r="S959" s="8" t="str">
        <f t="shared" si="169"/>
        <v>47µF 63v - R08.0-11.5 Jamicon (WL)</v>
      </c>
      <c r="T959" s="8">
        <f t="shared" si="175"/>
        <v>1</v>
      </c>
      <c r="U959" s="8" t="b">
        <f>NOT(ISNA(MATCH($P959,Packages!$A:$A,0)))</f>
        <v>1</v>
      </c>
    </row>
    <row r="960" spans="1:21" hidden="1">
      <c r="A960" s="6" t="s">
        <v>47</v>
      </c>
      <c r="B960" s="6" t="s">
        <v>53</v>
      </c>
      <c r="C960" s="33">
        <v>68</v>
      </c>
      <c r="D960" s="34">
        <v>63</v>
      </c>
      <c r="E960" s="6" t="s">
        <v>120</v>
      </c>
      <c r="F960" s="6" t="s">
        <v>59</v>
      </c>
      <c r="G960" s="6"/>
      <c r="H960" s="7" t="s">
        <v>141</v>
      </c>
      <c r="I960" s="7" t="str">
        <f t="shared" si="177"/>
        <v>JAMICON</v>
      </c>
      <c r="J960" s="7" t="str">
        <f t="shared" si="178"/>
        <v>68µF 63v</v>
      </c>
      <c r="K960" s="7"/>
      <c r="L960" s="7" t="str">
        <f t="shared" si="176"/>
        <v>WL</v>
      </c>
      <c r="M960" s="31">
        <f t="shared" si="170"/>
        <v>8</v>
      </c>
      <c r="N960" s="31">
        <f t="shared" si="171"/>
        <v>15</v>
      </c>
      <c r="O960" s="8" t="str">
        <f t="shared" si="172"/>
        <v>Jamicon-WL</v>
      </c>
      <c r="P960" s="12" t="str">
        <f t="shared" si="168"/>
        <v>Jamicon R-08.0x15.0</v>
      </c>
      <c r="Q960" s="12" t="str">
        <f t="shared" si="173"/>
        <v>68µF</v>
      </c>
      <c r="R960" s="12" t="str">
        <f t="shared" si="174"/>
        <v>63v</v>
      </c>
      <c r="S960" s="8" t="str">
        <f t="shared" si="169"/>
        <v>68µF 63v - R08.0-15.0 Jamicon (WL)</v>
      </c>
      <c r="T960" s="8">
        <f t="shared" si="175"/>
        <v>1</v>
      </c>
      <c r="U960" s="8" t="b">
        <f>NOT(ISNA(MATCH($P960,Packages!$A:$A,0)))</f>
        <v>1</v>
      </c>
    </row>
    <row r="961" spans="1:21" hidden="1">
      <c r="A961" s="6" t="s">
        <v>47</v>
      </c>
      <c r="B961" s="6" t="s">
        <v>53</v>
      </c>
      <c r="C961" s="33">
        <v>100</v>
      </c>
      <c r="D961" s="34">
        <v>63</v>
      </c>
      <c r="E961" s="6" t="s">
        <v>92</v>
      </c>
      <c r="F961" s="6" t="s">
        <v>59</v>
      </c>
      <c r="G961" s="6"/>
      <c r="H961" s="7" t="s">
        <v>141</v>
      </c>
      <c r="I961" s="7" t="str">
        <f t="shared" si="177"/>
        <v>JAMICON</v>
      </c>
      <c r="J961" s="7" t="str">
        <f t="shared" si="178"/>
        <v>100µF 63v</v>
      </c>
      <c r="K961" s="7"/>
      <c r="L961" s="7" t="str">
        <f t="shared" si="176"/>
        <v>WL</v>
      </c>
      <c r="M961" s="31">
        <f t="shared" si="170"/>
        <v>10</v>
      </c>
      <c r="N961" s="31">
        <f t="shared" si="171"/>
        <v>12.5</v>
      </c>
      <c r="O961" s="8" t="str">
        <f t="shared" si="172"/>
        <v>Jamicon-WL</v>
      </c>
      <c r="P961" s="12" t="str">
        <f t="shared" si="168"/>
        <v>Jamicon R-10.0x13.0</v>
      </c>
      <c r="Q961" s="12" t="str">
        <f t="shared" si="173"/>
        <v>100µF</v>
      </c>
      <c r="R961" s="12" t="str">
        <f t="shared" si="174"/>
        <v>63v</v>
      </c>
      <c r="S961" s="8" t="str">
        <f t="shared" si="169"/>
        <v>100µF 63v - R10.0-12.5 Jamicon (WL)</v>
      </c>
      <c r="T961" s="8">
        <f t="shared" si="175"/>
        <v>1</v>
      </c>
      <c r="U961" s="8" t="b">
        <f>NOT(ISNA(MATCH($P961,Packages!$A:$A,0)))</f>
        <v>1</v>
      </c>
    </row>
    <row r="962" spans="1:21" hidden="1">
      <c r="A962" s="6" t="s">
        <v>47</v>
      </c>
      <c r="B962" s="6" t="s">
        <v>53</v>
      </c>
      <c r="C962" s="33">
        <v>220</v>
      </c>
      <c r="D962" s="34">
        <v>63</v>
      </c>
      <c r="E962" s="6" t="s">
        <v>94</v>
      </c>
      <c r="F962" s="6" t="s">
        <v>59</v>
      </c>
      <c r="G962" s="6"/>
      <c r="H962" s="7" t="s">
        <v>141</v>
      </c>
      <c r="I962" s="7" t="str">
        <f t="shared" si="177"/>
        <v>JAMICON</v>
      </c>
      <c r="J962" s="7" t="str">
        <f t="shared" si="178"/>
        <v>220µF 63v</v>
      </c>
      <c r="K962" s="7"/>
      <c r="L962" s="7" t="str">
        <f t="shared" si="176"/>
        <v>WL</v>
      </c>
      <c r="M962" s="31">
        <f t="shared" si="170"/>
        <v>10</v>
      </c>
      <c r="N962" s="31">
        <f t="shared" si="171"/>
        <v>20</v>
      </c>
      <c r="O962" s="8" t="str">
        <f t="shared" si="172"/>
        <v>Jamicon-WL</v>
      </c>
      <c r="P962" s="12" t="str">
        <f t="shared" ref="P962:P969" si="179">$A962&amp;" "&amp;LEFT($F962,1)&amp;"-"&amp;TEXT(ROUND($M962,0),"00.0")&amp;"x"&amp;TEXT(ROUND($N962,0),"00.0")</f>
        <v>Jamicon R-10.0x20.0</v>
      </c>
      <c r="Q962" s="12" t="str">
        <f t="shared" si="173"/>
        <v>220µF</v>
      </c>
      <c r="R962" s="12" t="str">
        <f t="shared" si="174"/>
        <v>63v</v>
      </c>
      <c r="S962" s="8" t="str">
        <f t="shared" ref="S962:S969" si="180">$Q962&amp;" "&amp;$R962&amp;" - "&amp;LEFT($F962,1)&amp;TEXT($M962,"00.0")&amp;"-"&amp;TEXT($N962,"00.0")&amp;" "&amp;A962&amp;" ("&amp;B962&amp;")"&amp;IF(ISBLANK($G962),""," "&amp;$G962)</f>
        <v>220µF 63v - R10.0-20.0 Jamicon (WL)</v>
      </c>
      <c r="T962" s="8">
        <f t="shared" si="175"/>
        <v>1</v>
      </c>
      <c r="U962" s="8" t="b">
        <f>NOT(ISNA(MATCH($P962,Packages!$A:$A,0)))</f>
        <v>1</v>
      </c>
    </row>
    <row r="963" spans="1:21" hidden="1">
      <c r="A963" s="6" t="s">
        <v>47</v>
      </c>
      <c r="B963" s="6" t="s">
        <v>53</v>
      </c>
      <c r="C963" s="33">
        <v>330</v>
      </c>
      <c r="D963" s="34">
        <v>63</v>
      </c>
      <c r="E963" s="6" t="s">
        <v>135</v>
      </c>
      <c r="F963" s="6" t="s">
        <v>59</v>
      </c>
      <c r="G963" s="6"/>
      <c r="H963" s="7" t="s">
        <v>141</v>
      </c>
      <c r="I963" s="7" t="str">
        <f t="shared" si="177"/>
        <v>JAMICON</v>
      </c>
      <c r="J963" s="7" t="str">
        <f t="shared" si="178"/>
        <v>330µF 63v</v>
      </c>
      <c r="K963" s="7"/>
      <c r="L963" s="7" t="str">
        <f t="shared" si="176"/>
        <v>WL</v>
      </c>
      <c r="M963" s="31">
        <f t="shared" ref="M963:M969" si="181">VALUE(LEFT($E963,SEARCH("x",$E963)-1))</f>
        <v>10</v>
      </c>
      <c r="N963" s="31">
        <f t="shared" ref="N963:N969" si="182">VALUE(RIGHT($E963,LEN($E963)-SEARCH("x",$E963)))</f>
        <v>30</v>
      </c>
      <c r="O963" s="8" t="str">
        <f t="shared" ref="O963:O969" si="183">$A963&amp;"-"&amp;$B963</f>
        <v>Jamicon-WL</v>
      </c>
      <c r="P963" s="12" t="str">
        <f t="shared" si="179"/>
        <v>Jamicon R-10.0x30.0</v>
      </c>
      <c r="Q963" s="12" t="str">
        <f t="shared" ref="Q963:Q969" si="184">TEXT($C963,"General"&amp;CHAR(34)&amp;"µF"&amp;CHAR(34))</f>
        <v>330µF</v>
      </c>
      <c r="R963" s="12" t="str">
        <f t="shared" ref="R963:R969" si="185">TEXT($D963,"General"&amp;CHAR(34)&amp;"v"&amp;CHAR(34))</f>
        <v>63v</v>
      </c>
      <c r="S963" s="8" t="str">
        <f t="shared" si="180"/>
        <v>330µF 63v - R10.0-30.0 Jamicon (WL)</v>
      </c>
      <c r="T963" s="8">
        <f t="shared" ref="T963:T969" si="186">COUNTIF($S:$S,$S963)</f>
        <v>1</v>
      </c>
      <c r="U963" s="8" t="b">
        <f>NOT(ISNA(MATCH($P963,Packages!$A:$A,0)))</f>
        <v>1</v>
      </c>
    </row>
    <row r="964" spans="1:21" hidden="1">
      <c r="A964" s="6" t="s">
        <v>47</v>
      </c>
      <c r="B964" s="6" t="s">
        <v>53</v>
      </c>
      <c r="C964" s="33">
        <v>470</v>
      </c>
      <c r="D964" s="34">
        <v>63</v>
      </c>
      <c r="E964" s="6" t="s">
        <v>96</v>
      </c>
      <c r="F964" s="6" t="s">
        <v>59</v>
      </c>
      <c r="G964" s="6"/>
      <c r="H964" s="7" t="s">
        <v>141</v>
      </c>
      <c r="I964" s="7" t="str">
        <f t="shared" si="177"/>
        <v>JAMICON</v>
      </c>
      <c r="J964" s="7" t="str">
        <f t="shared" si="178"/>
        <v>470µF 63v</v>
      </c>
      <c r="K964" s="7"/>
      <c r="L964" s="7" t="str">
        <f t="shared" si="176"/>
        <v>WL</v>
      </c>
      <c r="M964" s="31">
        <f t="shared" si="181"/>
        <v>12.5</v>
      </c>
      <c r="N964" s="31">
        <f t="shared" si="182"/>
        <v>25</v>
      </c>
      <c r="O964" s="8" t="str">
        <f t="shared" si="183"/>
        <v>Jamicon-WL</v>
      </c>
      <c r="P964" s="12" t="str">
        <f t="shared" si="179"/>
        <v>Jamicon R-13.0x25.0</v>
      </c>
      <c r="Q964" s="12" t="str">
        <f t="shared" si="184"/>
        <v>470µF</v>
      </c>
      <c r="R964" s="12" t="str">
        <f t="shared" si="185"/>
        <v>63v</v>
      </c>
      <c r="S964" s="8" t="str">
        <f t="shared" si="180"/>
        <v>470µF 63v - R12.5-25.0 Jamicon (WL)</v>
      </c>
      <c r="T964" s="8">
        <f t="shared" si="186"/>
        <v>1</v>
      </c>
      <c r="U964" s="8" t="b">
        <f>NOT(ISNA(MATCH($P964,Packages!$A:$A,0)))</f>
        <v>1</v>
      </c>
    </row>
    <row r="965" spans="1:21" hidden="1">
      <c r="A965" s="6" t="s">
        <v>47</v>
      </c>
      <c r="B965" s="6" t="s">
        <v>53</v>
      </c>
      <c r="C965" s="33">
        <v>680</v>
      </c>
      <c r="D965" s="34">
        <v>63</v>
      </c>
      <c r="E965" s="6" t="s">
        <v>130</v>
      </c>
      <c r="F965" s="6" t="s">
        <v>59</v>
      </c>
      <c r="G965" s="6"/>
      <c r="H965" s="7" t="s">
        <v>141</v>
      </c>
      <c r="I965" s="7" t="str">
        <f t="shared" si="177"/>
        <v>JAMICON</v>
      </c>
      <c r="J965" s="7" t="str">
        <f t="shared" si="178"/>
        <v>680µF 63v</v>
      </c>
      <c r="K965" s="7"/>
      <c r="L965" s="7" t="str">
        <f t="shared" si="176"/>
        <v>WL</v>
      </c>
      <c r="M965" s="31">
        <f t="shared" si="181"/>
        <v>12.5</v>
      </c>
      <c r="N965" s="31">
        <f t="shared" si="182"/>
        <v>35</v>
      </c>
      <c r="O965" s="8" t="str">
        <f t="shared" si="183"/>
        <v>Jamicon-WL</v>
      </c>
      <c r="P965" s="12" t="str">
        <f t="shared" si="179"/>
        <v>Jamicon R-13.0x35.0</v>
      </c>
      <c r="Q965" s="12" t="str">
        <f t="shared" si="184"/>
        <v>680µF</v>
      </c>
      <c r="R965" s="12" t="str">
        <f t="shared" si="185"/>
        <v>63v</v>
      </c>
      <c r="S965" s="8" t="str">
        <f t="shared" si="180"/>
        <v>680µF 63v - R12.5-35.0 Jamicon (WL)</v>
      </c>
      <c r="T965" s="8">
        <f t="shared" si="186"/>
        <v>1</v>
      </c>
      <c r="U965" s="8" t="b">
        <f>NOT(ISNA(MATCH($P965,Packages!$A:$A,0)))</f>
        <v>1</v>
      </c>
    </row>
    <row r="966" spans="1:21" hidden="1">
      <c r="A966" s="6" t="s">
        <v>47</v>
      </c>
      <c r="B966" s="6" t="s">
        <v>53</v>
      </c>
      <c r="C966" s="33">
        <v>1000</v>
      </c>
      <c r="D966" s="34">
        <v>63</v>
      </c>
      <c r="E966" s="6" t="s">
        <v>97</v>
      </c>
      <c r="F966" s="6" t="s">
        <v>59</v>
      </c>
      <c r="G966" s="6"/>
      <c r="H966" s="7" t="s">
        <v>141</v>
      </c>
      <c r="I966" s="7" t="str">
        <f t="shared" si="177"/>
        <v>JAMICON</v>
      </c>
      <c r="J966" s="7" t="str">
        <f t="shared" si="178"/>
        <v>1000µF 63v</v>
      </c>
      <c r="K966" s="7"/>
      <c r="L966" s="7" t="str">
        <f t="shared" si="176"/>
        <v>WL</v>
      </c>
      <c r="M966" s="31">
        <f t="shared" si="181"/>
        <v>16</v>
      </c>
      <c r="N966" s="31">
        <f t="shared" si="182"/>
        <v>25</v>
      </c>
      <c r="O966" s="8" t="str">
        <f t="shared" si="183"/>
        <v>Jamicon-WL</v>
      </c>
      <c r="P966" s="12" t="str">
        <f t="shared" si="179"/>
        <v>Jamicon R-16.0x25.0</v>
      </c>
      <c r="Q966" s="12" t="str">
        <f t="shared" si="184"/>
        <v>1000µF</v>
      </c>
      <c r="R966" s="12" t="str">
        <f t="shared" si="185"/>
        <v>63v</v>
      </c>
      <c r="S966" s="8" t="str">
        <f t="shared" si="180"/>
        <v>1000µF 63v - R16.0-25.0 Jamicon (WL)</v>
      </c>
      <c r="T966" s="8">
        <f t="shared" si="186"/>
        <v>1</v>
      </c>
      <c r="U966" s="8" t="b">
        <f>NOT(ISNA(MATCH($P966,Packages!$A:$A,0)))</f>
        <v>1</v>
      </c>
    </row>
    <row r="967" spans="1:21" hidden="1">
      <c r="A967" s="6" t="s">
        <v>57</v>
      </c>
      <c r="B967" s="6" t="s">
        <v>56</v>
      </c>
      <c r="C967" s="33">
        <v>470</v>
      </c>
      <c r="D967" s="34">
        <v>16</v>
      </c>
      <c r="E967" s="6" t="s">
        <v>71</v>
      </c>
      <c r="F967" s="6" t="s">
        <v>59</v>
      </c>
      <c r="G967" s="6"/>
      <c r="H967" s="7" t="s">
        <v>141</v>
      </c>
      <c r="I967" s="7" t="str">
        <f>R967</f>
        <v>16v</v>
      </c>
      <c r="J967" s="7" t="str">
        <f>Q967</f>
        <v>470µF</v>
      </c>
      <c r="K967" s="7"/>
      <c r="L967" s="7" t="str">
        <f t="shared" si="176"/>
        <v>KX</v>
      </c>
      <c r="M967" s="31">
        <f t="shared" si="181"/>
        <v>8</v>
      </c>
      <c r="N967" s="31">
        <f t="shared" si="182"/>
        <v>12</v>
      </c>
      <c r="O967" s="8" t="str">
        <f t="shared" si="183"/>
        <v>Nichicon-KX</v>
      </c>
      <c r="P967" s="12" t="str">
        <f t="shared" si="179"/>
        <v>Nichicon R-08.0x12.0</v>
      </c>
      <c r="Q967" s="12" t="str">
        <f t="shared" si="184"/>
        <v>470µF</v>
      </c>
      <c r="R967" s="12" t="str">
        <f t="shared" si="185"/>
        <v>16v</v>
      </c>
      <c r="S967" s="8" t="str">
        <f t="shared" si="180"/>
        <v>470µF 16v - R08.0-12.0 Nichicon (KX)</v>
      </c>
      <c r="T967" s="8">
        <f t="shared" si="186"/>
        <v>1</v>
      </c>
      <c r="U967" s="8" t="b">
        <f>NOT(ISNA(MATCH($P967,Packages!$A:$A,0)))</f>
        <v>1</v>
      </c>
    </row>
    <row r="968" spans="1:21" hidden="1">
      <c r="A968" s="6" t="s">
        <v>51</v>
      </c>
      <c r="B968" s="6" t="s">
        <v>64</v>
      </c>
      <c r="C968" s="33">
        <v>3300</v>
      </c>
      <c r="D968" s="34">
        <v>10</v>
      </c>
      <c r="E968" s="6" t="s">
        <v>137</v>
      </c>
      <c r="F968" s="6" t="s">
        <v>59</v>
      </c>
      <c r="G968" s="6"/>
      <c r="H968" s="7" t="s">
        <v>142</v>
      </c>
      <c r="I968" s="7" t="str">
        <f t="shared" si="177"/>
        <v>YIHCON</v>
      </c>
      <c r="J968" s="7" t="str">
        <f t="shared" si="178"/>
        <v>3300µF 10v</v>
      </c>
      <c r="K968" s="7"/>
      <c r="L968" s="7" t="s">
        <v>147</v>
      </c>
      <c r="M968" s="31">
        <f t="shared" si="181"/>
        <v>10</v>
      </c>
      <c r="N968" s="31">
        <f t="shared" si="182"/>
        <v>35</v>
      </c>
      <c r="O968" s="8" t="str">
        <f t="shared" si="183"/>
        <v>Yihcon-TM1</v>
      </c>
      <c r="P968" s="12" t="str">
        <f t="shared" si="179"/>
        <v>Yihcon R-10.0x35.0</v>
      </c>
      <c r="Q968" s="12" t="str">
        <f t="shared" si="184"/>
        <v>3300µF</v>
      </c>
      <c r="R968" s="12" t="str">
        <f t="shared" si="185"/>
        <v>10v</v>
      </c>
      <c r="S968" s="8" t="str">
        <f t="shared" si="180"/>
        <v>3300µF 10v - R10.0-35.0 Yihcon (TM1)</v>
      </c>
      <c r="T968" s="8">
        <f t="shared" si="186"/>
        <v>1</v>
      </c>
      <c r="U968" s="8" t="b">
        <f>NOT(ISNA(MATCH($P968,Packages!$A:$A,0)))</f>
        <v>1</v>
      </c>
    </row>
    <row r="969" spans="1:21" hidden="1">
      <c r="A969" s="6" t="s">
        <v>51</v>
      </c>
      <c r="B969" s="6" t="s">
        <v>65</v>
      </c>
      <c r="C969" s="33">
        <v>3300</v>
      </c>
      <c r="D969" s="34">
        <v>16</v>
      </c>
      <c r="E969" s="6" t="s">
        <v>137</v>
      </c>
      <c r="F969" s="6" t="s">
        <v>59</v>
      </c>
      <c r="G969" s="6"/>
      <c r="H969" s="7" t="s">
        <v>142</v>
      </c>
      <c r="I969" s="7" t="str">
        <f t="shared" si="177"/>
        <v>YIHCON</v>
      </c>
      <c r="J969" s="7" t="str">
        <f t="shared" si="178"/>
        <v>3300µF 16v</v>
      </c>
      <c r="K969" s="7"/>
      <c r="L969" s="7" t="s">
        <v>147</v>
      </c>
      <c r="M969" s="31">
        <f t="shared" si="181"/>
        <v>10</v>
      </c>
      <c r="N969" s="31">
        <f t="shared" si="182"/>
        <v>35</v>
      </c>
      <c r="O969" s="8" t="str">
        <f t="shared" si="183"/>
        <v>Yihcon-TM2</v>
      </c>
      <c r="P969" s="12" t="str">
        <f t="shared" si="179"/>
        <v>Yihcon R-10.0x35.0</v>
      </c>
      <c r="Q969" s="12" t="str">
        <f t="shared" si="184"/>
        <v>3300µF</v>
      </c>
      <c r="R969" s="12" t="str">
        <f t="shared" si="185"/>
        <v>16v</v>
      </c>
      <c r="S969" s="8" t="str">
        <f t="shared" si="180"/>
        <v>3300µF 16v - R10.0-35.0 Yihcon (TM2)</v>
      </c>
      <c r="T969" s="8">
        <f t="shared" si="186"/>
        <v>1</v>
      </c>
      <c r="U969" s="8" t="b">
        <f>NOT(ISNA(MATCH($P969,Packages!$A:$A,0)))</f>
        <v>1</v>
      </c>
    </row>
  </sheetData>
  <autoFilter ref="A1:U969">
    <filterColumn colId="0">
      <filters>
        <filter val="Hitano"/>
      </filters>
    </filterColumn>
    <filterColumn colId="1">
      <filters>
        <filter val="EXR"/>
      </filters>
    </filterColumn>
    <filterColumn colId="2"/>
    <filterColumn colId="3"/>
    <filterColumn colId="15"/>
  </autoFilter>
  <sortState ref="A2:AL969">
    <sortCondition ref="A2:A969"/>
    <sortCondition ref="B2:B969"/>
    <sortCondition ref="D2:D969"/>
    <sortCondition ref="C2:C969"/>
    <sortCondition ref="M2:M969"/>
  </sortState>
  <conditionalFormatting sqref="P2:P969">
    <cfRule type="expression" dxfId="1" priority="2">
      <formula>NOT($U2)</formula>
    </cfRule>
  </conditionalFormatting>
  <conditionalFormatting sqref="S2:S969">
    <cfRule type="expression" dxfId="0" priority="1">
      <formula>$T2&gt;1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64"/>
  <sheetViews>
    <sheetView topLeftCell="K1" workbookViewId="0">
      <selection activeCell="AO14" sqref="AO14"/>
    </sheetView>
  </sheetViews>
  <sheetFormatPr defaultColWidth="18.85546875" defaultRowHeight="15"/>
  <cols>
    <col min="1" max="1" width="19" bestFit="1" customWidth="1"/>
    <col min="2" max="2" width="8.140625" bestFit="1" customWidth="1"/>
    <col min="3" max="3" width="7.42578125" bestFit="1" customWidth="1"/>
    <col min="4" max="4" width="7.42578125" customWidth="1"/>
    <col min="5" max="5" width="7.42578125" bestFit="1" customWidth="1"/>
    <col min="6" max="6" width="8.42578125" bestFit="1" customWidth="1"/>
    <col min="7" max="7" width="7.42578125" bestFit="1" customWidth="1"/>
    <col min="8" max="10" width="8.42578125" bestFit="1" customWidth="1"/>
    <col min="11" max="11" width="5.5703125" bestFit="1" customWidth="1"/>
    <col min="12" max="12" width="8.42578125" bestFit="1" customWidth="1"/>
    <col min="13" max="13" width="7.42578125" bestFit="1" customWidth="1"/>
    <col min="14" max="14" width="8.42578125" bestFit="1" customWidth="1"/>
    <col min="15" max="15" width="7.42578125" bestFit="1" customWidth="1"/>
    <col min="16" max="16" width="8.42578125" bestFit="1" customWidth="1"/>
    <col min="17" max="20" width="8.28515625" bestFit="1" customWidth="1"/>
    <col min="21" max="26" width="8.28515625" customWidth="1"/>
    <col min="27" max="27" width="7.42578125" bestFit="1" customWidth="1"/>
    <col min="28" max="29" width="10.42578125" bestFit="1" customWidth="1"/>
    <col min="30" max="31" width="8.42578125" bestFit="1" customWidth="1"/>
    <col min="32" max="32" width="9.42578125" hidden="1" customWidth="1"/>
    <col min="33" max="35" width="7" hidden="1" customWidth="1"/>
    <col min="36" max="36" width="8.28515625" bestFit="1" customWidth="1"/>
    <col min="37" max="37" width="7" hidden="1" customWidth="1"/>
    <col min="38" max="38" width="7.42578125" bestFit="1" customWidth="1"/>
    <col min="39" max="39" width="8.42578125" bestFit="1" customWidth="1"/>
    <col min="40" max="40" width="10.42578125" bestFit="1" customWidth="1"/>
    <col min="41" max="41" width="7.42578125" bestFit="1" customWidth="1"/>
    <col min="42" max="42" width="4.42578125" style="5" customWidth="1"/>
    <col min="43" max="43" width="34.85546875" bestFit="1" customWidth="1"/>
  </cols>
  <sheetData>
    <row r="1" spans="1:42" ht="149.25">
      <c r="A1" s="16" t="s">
        <v>22</v>
      </c>
      <c r="B1" s="15" t="s">
        <v>45</v>
      </c>
      <c r="C1" s="15" t="s">
        <v>58</v>
      </c>
      <c r="D1" s="15" t="s">
        <v>112</v>
      </c>
      <c r="E1" s="15" t="s">
        <v>17</v>
      </c>
      <c r="F1" s="15" t="s">
        <v>21</v>
      </c>
      <c r="G1" s="15" t="s">
        <v>16</v>
      </c>
      <c r="H1" s="15" t="s">
        <v>10</v>
      </c>
      <c r="I1" s="16" t="s">
        <v>3</v>
      </c>
      <c r="J1" s="16" t="s">
        <v>2</v>
      </c>
      <c r="K1" s="16" t="s">
        <v>6</v>
      </c>
      <c r="L1" s="16" t="s">
        <v>9</v>
      </c>
      <c r="M1" s="16" t="s">
        <v>4</v>
      </c>
      <c r="N1" s="16" t="s">
        <v>8</v>
      </c>
      <c r="O1" s="16" t="s">
        <v>5</v>
      </c>
      <c r="P1" s="16" t="s">
        <v>7</v>
      </c>
      <c r="Q1" s="56" t="s">
        <v>189</v>
      </c>
      <c r="R1" s="56" t="s">
        <v>190</v>
      </c>
      <c r="S1" s="56" t="s">
        <v>191</v>
      </c>
      <c r="T1" s="56" t="s">
        <v>186</v>
      </c>
      <c r="U1" s="56" t="s">
        <v>187</v>
      </c>
      <c r="V1" s="56" t="s">
        <v>188</v>
      </c>
      <c r="W1" s="56" t="s">
        <v>208</v>
      </c>
      <c r="X1" s="56" t="s">
        <v>213</v>
      </c>
      <c r="Y1" s="56" t="s">
        <v>212</v>
      </c>
      <c r="Z1" s="56" t="s">
        <v>211</v>
      </c>
      <c r="AA1" s="16" t="s">
        <v>164</v>
      </c>
      <c r="AB1" s="16" t="s">
        <v>165</v>
      </c>
      <c r="AC1" s="16" t="s">
        <v>166</v>
      </c>
      <c r="AD1" s="16" t="s">
        <v>67</v>
      </c>
      <c r="AE1" s="16" t="s">
        <v>139</v>
      </c>
      <c r="AF1" s="16" t="s">
        <v>26</v>
      </c>
      <c r="AG1" s="16" t="s">
        <v>111</v>
      </c>
      <c r="AH1" s="16" t="s">
        <v>110</v>
      </c>
      <c r="AI1" s="16" t="s">
        <v>109</v>
      </c>
      <c r="AJ1" s="16" t="s">
        <v>214</v>
      </c>
      <c r="AK1" s="16" t="s">
        <v>117</v>
      </c>
      <c r="AP1" s="1"/>
    </row>
    <row r="2" spans="1:42">
      <c r="A2" s="2" t="str">
        <f t="shared" ref="A2:A33" si="0">$B2&amp;" "&amp;LEFT($C2,1)&amp;"-"&amp;TEXT(ROUND($I2,0),"00.0")&amp;"x"&amp;TEXT(ROUND($J2,0),"00.0")</f>
        <v>HEC R-25.0x51.0</v>
      </c>
      <c r="B2" s="35" t="s">
        <v>54</v>
      </c>
      <c r="C2" s="6" t="s">
        <v>59</v>
      </c>
      <c r="D2" s="6" t="s">
        <v>116</v>
      </c>
      <c r="E2" s="7">
        <v>0.5</v>
      </c>
      <c r="F2" s="7">
        <v>2</v>
      </c>
      <c r="G2" s="7">
        <v>0.3</v>
      </c>
      <c r="H2" s="7">
        <v>4</v>
      </c>
      <c r="I2" s="31">
        <f t="shared" ref="I2:I18" si="1">VALUE(LEFT($D2,SEARCH("x",$D2)-1))</f>
        <v>25.2</v>
      </c>
      <c r="J2" s="31">
        <f t="shared" ref="J2:J18" si="2">VALUE(RIGHT($D2,LEN($D2)-SEARCH("x",$D2)))</f>
        <v>51.4</v>
      </c>
      <c r="K2" s="37">
        <f>1000*ROUND($AD2/25.4,2)</f>
        <v>400</v>
      </c>
      <c r="L2" s="3">
        <v>4</v>
      </c>
      <c r="M2" s="3">
        <v>1.5</v>
      </c>
      <c r="N2" s="3">
        <v>0.2</v>
      </c>
      <c r="O2" s="3">
        <v>4.7</v>
      </c>
      <c r="P2" s="3">
        <v>3.5</v>
      </c>
      <c r="Q2" s="57">
        <f>rptNone</f>
        <v>0</v>
      </c>
      <c r="R2" s="57">
        <f>rptNone</f>
        <v>0</v>
      </c>
      <c r="S2" s="57">
        <f>rptNone</f>
        <v>0</v>
      </c>
      <c r="T2" s="57">
        <v>0</v>
      </c>
      <c r="U2" s="57">
        <v>0</v>
      </c>
      <c r="V2" s="57">
        <v>0</v>
      </c>
      <c r="W2" s="57">
        <v>0</v>
      </c>
      <c r="X2" s="57">
        <f>W2</f>
        <v>0</v>
      </c>
      <c r="Y2" s="57">
        <v>8</v>
      </c>
      <c r="Z2" s="57">
        <f>IF(B2="Hitano",5,4)</f>
        <v>4</v>
      </c>
      <c r="AA2" s="3">
        <v>4.9000000000000004</v>
      </c>
      <c r="AB2" s="38">
        <f>AA2/1.4</f>
        <v>3.5000000000000004</v>
      </c>
      <c r="AC2" s="38">
        <f>AA2/1.324</f>
        <v>3.7009063444108761</v>
      </c>
      <c r="AD2" s="3">
        <v>10.199999999999999</v>
      </c>
      <c r="AE2" s="38">
        <f>AA2/1.2</f>
        <v>4.0833333333333339</v>
      </c>
      <c r="AF2" s="4">
        <f t="shared" ref="AF2:AF18" si="3">K2/1000 * 25.4</f>
        <v>10.16</v>
      </c>
      <c r="AG2" s="8" t="e">
        <f>1+MATCH($B2,'Lead Tables'!$A:$A,0)</f>
        <v>#N/A</v>
      </c>
      <c r="AH2" s="4" t="e">
        <f>ADDRESS($AG2,1,TRUE,TRUE,"Lead Tables")&amp;":"&amp;ADDRESS($AG2+3,COLUMN('Lead Tables'!$K:$K),TRUE,TRUE)</f>
        <v>#N/A</v>
      </c>
      <c r="AI2" s="4" t="e">
        <f>ADDRESS($AG2,1,TRUE,TRUE,"Lead Tables")&amp;":"&amp;ADDRESS($AG2,COLUMN('Lead Tables'!$K:$K),TRUE,TRUE)</f>
        <v>#N/A</v>
      </c>
      <c r="AJ2" s="64">
        <v>0.1</v>
      </c>
      <c r="AK2">
        <f t="shared" ref="AK2:AK33" si="4">COUNTIF(A:A,A2)</f>
        <v>1</v>
      </c>
      <c r="AN2" s="3">
        <f>MAX(AA2:AC64)</f>
        <v>4.9000000000000004</v>
      </c>
      <c r="AP2"/>
    </row>
    <row r="3" spans="1:42">
      <c r="A3" s="2" t="str">
        <f t="shared" si="0"/>
        <v>Hitano R-05.0x11.0</v>
      </c>
      <c r="B3" s="35" t="s">
        <v>49</v>
      </c>
      <c r="C3" s="6" t="s">
        <v>59</v>
      </c>
      <c r="D3" s="6" t="s">
        <v>68</v>
      </c>
      <c r="E3" s="7">
        <v>0.5</v>
      </c>
      <c r="F3" s="7">
        <v>2</v>
      </c>
      <c r="G3" s="7">
        <v>0.3</v>
      </c>
      <c r="H3" s="7">
        <v>20.7</v>
      </c>
      <c r="I3" s="31">
        <f t="shared" si="1"/>
        <v>5</v>
      </c>
      <c r="J3" s="31">
        <f t="shared" si="2"/>
        <v>11</v>
      </c>
      <c r="K3" s="37">
        <f t="shared" ref="K3:K18" ca="1" si="5">1000*ROUNDUP($AD3/25.4,2)</f>
        <v>80</v>
      </c>
      <c r="L3" s="4">
        <f t="shared" ref="L3:L18" si="6">H3+5.6</f>
        <v>26.299999999999997</v>
      </c>
      <c r="M3" s="4">
        <f t="shared" ref="M3:M34" ca="1" si="7">INDEX(INDIRECT($AH3),3,MATCH($I3,INDIRECT($AI3),0))</f>
        <v>0.5</v>
      </c>
      <c r="N3" s="4">
        <f t="shared" ref="N3:N18" si="8">IF($I3&lt;8,0.12,IF($I3&lt;10,0.15,0.2))</f>
        <v>0.12</v>
      </c>
      <c r="O3" s="26">
        <v>2</v>
      </c>
      <c r="P3" s="26">
        <v>1.5</v>
      </c>
      <c r="Q3" s="58">
        <f t="shared" ref="Q3:Q34" si="9">rptMinUntilExtent</f>
        <v>17</v>
      </c>
      <c r="R3" s="57">
        <f t="shared" ref="R3:R34" si="10">rptNumberOfTimesOfLineNo</f>
        <v>6</v>
      </c>
      <c r="S3" s="57">
        <f t="shared" ref="S3:S34" si="11">rptUntilExtentThenFit</f>
        <v>2</v>
      </c>
      <c r="T3" s="57">
        <v>1</v>
      </c>
      <c r="U3" s="57">
        <v>0</v>
      </c>
      <c r="V3" s="57">
        <v>0</v>
      </c>
      <c r="W3" s="57">
        <v>3</v>
      </c>
      <c r="X3" s="57">
        <f t="shared" ref="X3:X64" si="12">W3</f>
        <v>3</v>
      </c>
      <c r="Y3" s="57">
        <v>8</v>
      </c>
      <c r="Z3" s="57">
        <f t="shared" ref="Z3:Z64" si="13">IF(B3="Hitano",5,4)</f>
        <v>5</v>
      </c>
      <c r="AA3" s="60">
        <f t="shared" ref="AA3:AA54" si="14">IF(ROUND(5.509253+(1.199745-5.509253)/(1+($I3/16.61827)^13.04355),1)&gt;3,3,ROUND(5.509253+(1.199745-5.509253)/(1+($I3/16.61827)^13.04355),1))</f>
        <v>1.2</v>
      </c>
      <c r="AB3" s="38">
        <f>AA3*1.5</f>
        <v>1.7999999999999998</v>
      </c>
      <c r="AC3" s="38">
        <f>IF(AA3/1.949&gt;0.7,0.7,AA3/1.949)/1.3</f>
        <v>0.47361566089118678</v>
      </c>
      <c r="AD3" s="4">
        <f t="shared" ref="AD3:AD34" ca="1" si="15">INDEX(INDIRECT($AH3),2,MATCH($I3,INDIRECT($AI3),0))</f>
        <v>2</v>
      </c>
      <c r="AE3" s="38">
        <f t="shared" ref="AE3:AE14" si="16">AA3/3</f>
        <v>0.39999999999999997</v>
      </c>
      <c r="AF3" s="4">
        <f t="shared" ca="1" si="3"/>
        <v>2.032</v>
      </c>
      <c r="AG3" s="8">
        <f>1+MATCH($B3,'Lead Tables'!$A:$A,0)</f>
        <v>2</v>
      </c>
      <c r="AH3" s="4" t="str">
        <f>ADDRESS($AG3,1,TRUE,TRUE,"Lead Tables")&amp;":"&amp;ADDRESS($AG3+3,COLUMN('Lead Tables'!$K:$K),TRUE,TRUE)</f>
        <v>'Lead Tables'!$A$2:$K$5</v>
      </c>
      <c r="AI3" s="4" t="str">
        <f>ADDRESS($AG3,1,TRUE,TRUE,"Lead Tables")&amp;":"&amp;ADDRESS($AG3,COLUMN('Lead Tables'!$K:$K),TRUE,TRUE)</f>
        <v>'Lead Tables'!$A$2:$K$2</v>
      </c>
      <c r="AJ3" s="64">
        <v>0.1</v>
      </c>
      <c r="AK3">
        <f t="shared" si="4"/>
        <v>1</v>
      </c>
      <c r="AM3" s="38">
        <f t="shared" ref="AM3:AM10" si="17">AL3*1.261</f>
        <v>0</v>
      </c>
      <c r="AN3">
        <f>72 / 18.49189453</f>
        <v>3.8935978075795354</v>
      </c>
      <c r="AP3"/>
    </row>
    <row r="4" spans="1:42">
      <c r="A4" s="2" t="str">
        <f t="shared" si="0"/>
        <v>Hitano R-06.0x11.0</v>
      </c>
      <c r="B4" s="35" t="s">
        <v>49</v>
      </c>
      <c r="C4" s="6" t="s">
        <v>59</v>
      </c>
      <c r="D4" s="6" t="s">
        <v>69</v>
      </c>
      <c r="E4" s="7">
        <v>0.5</v>
      </c>
      <c r="F4" s="7">
        <v>2</v>
      </c>
      <c r="G4" s="7">
        <v>0.3</v>
      </c>
      <c r="H4" s="7">
        <v>20.7</v>
      </c>
      <c r="I4" s="31">
        <f t="shared" si="1"/>
        <v>6.3</v>
      </c>
      <c r="J4" s="31">
        <f t="shared" si="2"/>
        <v>11</v>
      </c>
      <c r="K4" s="37">
        <f t="shared" ca="1" si="5"/>
        <v>99.999999999999986</v>
      </c>
      <c r="L4" s="4">
        <f t="shared" si="6"/>
        <v>26.299999999999997</v>
      </c>
      <c r="M4" s="4">
        <f t="shared" ca="1" si="7"/>
        <v>0.5</v>
      </c>
      <c r="N4" s="4">
        <f t="shared" si="8"/>
        <v>0.12</v>
      </c>
      <c r="O4" s="26">
        <v>2</v>
      </c>
      <c r="P4" s="26">
        <v>1.5</v>
      </c>
      <c r="Q4" s="58">
        <f t="shared" si="9"/>
        <v>17</v>
      </c>
      <c r="R4" s="57">
        <f t="shared" si="10"/>
        <v>6</v>
      </c>
      <c r="S4" s="57">
        <f t="shared" si="11"/>
        <v>2</v>
      </c>
      <c r="T4" s="57">
        <v>1</v>
      </c>
      <c r="U4" s="57">
        <v>0</v>
      </c>
      <c r="V4" s="57">
        <v>0</v>
      </c>
      <c r="W4" s="57">
        <v>3</v>
      </c>
      <c r="X4" s="57">
        <f t="shared" si="12"/>
        <v>3</v>
      </c>
      <c r="Y4" s="57">
        <v>8</v>
      </c>
      <c r="Z4" s="57">
        <f t="shared" si="13"/>
        <v>5</v>
      </c>
      <c r="AA4" s="60">
        <f t="shared" si="14"/>
        <v>1.2</v>
      </c>
      <c r="AB4" s="38">
        <f t="shared" ref="AB4:AB18" si="18">AA4*1.5</f>
        <v>1.7999999999999998</v>
      </c>
      <c r="AC4" s="38">
        <f t="shared" ref="AC4:AC62" si="19">IF(AA4/1.949&gt;0.7,0.7,AA4/1.949)/1.3</f>
        <v>0.47361566089118678</v>
      </c>
      <c r="AD4" s="4">
        <f t="shared" ca="1" si="15"/>
        <v>2.5</v>
      </c>
      <c r="AE4" s="38">
        <f t="shared" si="16"/>
        <v>0.39999999999999997</v>
      </c>
      <c r="AF4" s="4">
        <f t="shared" ca="1" si="3"/>
        <v>2.5399999999999996</v>
      </c>
      <c r="AG4" s="8">
        <f>1+MATCH($B4,'Lead Tables'!$A:$A,0)</f>
        <v>2</v>
      </c>
      <c r="AH4" s="4" t="str">
        <f>ADDRESS($AG4,1,TRUE,TRUE,"Lead Tables")&amp;":"&amp;ADDRESS($AG4+3,COLUMN('Lead Tables'!$K:$K),TRUE,TRUE)</f>
        <v>'Lead Tables'!$A$2:$K$5</v>
      </c>
      <c r="AI4" s="4" t="str">
        <f>ADDRESS($AG4,1,TRUE,TRUE,"Lead Tables")&amp;":"&amp;ADDRESS($AG4,COLUMN('Lead Tables'!$K:$K),TRUE,TRUE)</f>
        <v>'Lead Tables'!$A$2:$K$2</v>
      </c>
      <c r="AJ4" s="64">
        <v>0.1</v>
      </c>
      <c r="AK4">
        <f t="shared" si="4"/>
        <v>1</v>
      </c>
      <c r="AM4" s="38">
        <f t="shared" si="17"/>
        <v>0</v>
      </c>
      <c r="AN4">
        <f>2000/(AN2*AN3)</f>
        <v>104.82933407029478</v>
      </c>
      <c r="AP4"/>
    </row>
    <row r="5" spans="1:42">
      <c r="A5" s="2" t="str">
        <f t="shared" si="0"/>
        <v>Hitano R-08.0x12.0</v>
      </c>
      <c r="B5" s="35" t="s">
        <v>49</v>
      </c>
      <c r="C5" s="6" t="s">
        <v>59</v>
      </c>
      <c r="D5" s="6" t="s">
        <v>71</v>
      </c>
      <c r="E5" s="7">
        <v>0.5</v>
      </c>
      <c r="F5" s="7">
        <v>2</v>
      </c>
      <c r="G5" s="7">
        <v>0.3</v>
      </c>
      <c r="H5" s="7">
        <v>20.7</v>
      </c>
      <c r="I5" s="31">
        <f t="shared" si="1"/>
        <v>8</v>
      </c>
      <c r="J5" s="31">
        <f t="shared" si="2"/>
        <v>12</v>
      </c>
      <c r="K5" s="37">
        <f t="shared" ca="1" si="5"/>
        <v>140</v>
      </c>
      <c r="L5" s="4">
        <f t="shared" si="6"/>
        <v>26.299999999999997</v>
      </c>
      <c r="M5" s="4">
        <f t="shared" ca="1" si="7"/>
        <v>0.5</v>
      </c>
      <c r="N5" s="4">
        <f t="shared" si="8"/>
        <v>0.15</v>
      </c>
      <c r="O5" s="26">
        <v>2</v>
      </c>
      <c r="P5" s="26">
        <v>1.5</v>
      </c>
      <c r="Q5" s="58">
        <f t="shared" si="9"/>
        <v>17</v>
      </c>
      <c r="R5" s="57">
        <f t="shared" si="10"/>
        <v>6</v>
      </c>
      <c r="S5" s="57">
        <f t="shared" si="11"/>
        <v>2</v>
      </c>
      <c r="T5" s="57">
        <v>1</v>
      </c>
      <c r="U5" s="57">
        <v>0</v>
      </c>
      <c r="V5" s="57">
        <v>0</v>
      </c>
      <c r="W5" s="57">
        <v>3</v>
      </c>
      <c r="X5" s="57">
        <f t="shared" si="12"/>
        <v>3</v>
      </c>
      <c r="Y5" s="57">
        <v>8</v>
      </c>
      <c r="Z5" s="57">
        <f t="shared" si="13"/>
        <v>5</v>
      </c>
      <c r="AA5" s="60">
        <f t="shared" si="14"/>
        <v>1.2</v>
      </c>
      <c r="AB5" s="38">
        <f t="shared" si="18"/>
        <v>1.7999999999999998</v>
      </c>
      <c r="AC5" s="38">
        <f t="shared" si="19"/>
        <v>0.47361566089118678</v>
      </c>
      <c r="AD5" s="4">
        <f t="shared" ca="1" si="15"/>
        <v>3.5</v>
      </c>
      <c r="AE5" s="38">
        <f t="shared" si="16"/>
        <v>0.39999999999999997</v>
      </c>
      <c r="AF5" s="4">
        <f t="shared" ca="1" si="3"/>
        <v>3.556</v>
      </c>
      <c r="AG5" s="8">
        <f>1+MATCH($B5,'Lead Tables'!$A:$A,0)</f>
        <v>2</v>
      </c>
      <c r="AH5" s="4" t="str">
        <f>ADDRESS($AG5,1,TRUE,TRUE,"Lead Tables")&amp;":"&amp;ADDRESS($AG5+3,COLUMN('Lead Tables'!$K:$K),TRUE,TRUE)</f>
        <v>'Lead Tables'!$A$2:$K$5</v>
      </c>
      <c r="AI5" s="4" t="str">
        <f>ADDRESS($AG5,1,TRUE,TRUE,"Lead Tables")&amp;":"&amp;ADDRESS($AG5,COLUMN('Lead Tables'!$K:$K),TRUE,TRUE)</f>
        <v>'Lead Tables'!$A$2:$K$2</v>
      </c>
      <c r="AJ5" s="64">
        <v>0.1</v>
      </c>
      <c r="AK5">
        <f t="shared" si="4"/>
        <v>1</v>
      </c>
      <c r="AM5" s="38">
        <f t="shared" si="17"/>
        <v>0</v>
      </c>
      <c r="AN5">
        <f>AN4/46.23</f>
        <v>2.2675607629308843</v>
      </c>
      <c r="AP5"/>
    </row>
    <row r="6" spans="1:42">
      <c r="A6" s="2" t="str">
        <f t="shared" si="0"/>
        <v>Hitano R-08.0x14.0</v>
      </c>
      <c r="B6" s="35" t="s">
        <v>49</v>
      </c>
      <c r="C6" s="6" t="s">
        <v>59</v>
      </c>
      <c r="D6" s="6" t="s">
        <v>73</v>
      </c>
      <c r="E6" s="7">
        <v>0.5</v>
      </c>
      <c r="F6" s="7">
        <v>2</v>
      </c>
      <c r="G6" s="7">
        <v>0.3</v>
      </c>
      <c r="H6" s="7">
        <v>20.7</v>
      </c>
      <c r="I6" s="31">
        <f t="shared" si="1"/>
        <v>8</v>
      </c>
      <c r="J6" s="31">
        <f t="shared" si="2"/>
        <v>14</v>
      </c>
      <c r="K6" s="37">
        <f t="shared" ca="1" si="5"/>
        <v>140</v>
      </c>
      <c r="L6" s="4">
        <f t="shared" si="6"/>
        <v>26.299999999999997</v>
      </c>
      <c r="M6" s="4">
        <f t="shared" ca="1" si="7"/>
        <v>0.5</v>
      </c>
      <c r="N6" s="4">
        <f t="shared" si="8"/>
        <v>0.15</v>
      </c>
      <c r="O6" s="26">
        <f t="shared" ref="O6:O18" si="20">4.925363+(2.443075-4.925363)/(1+($I6/16.01491)^7.997158)</f>
        <v>2.4526811374631312</v>
      </c>
      <c r="P6" s="26">
        <f t="shared" ref="P6:P18" si="21">10.44333+(1.945487-10.44333)/(1+($I6/34.36317)^4.867813)</f>
        <v>1.952527562629145</v>
      </c>
      <c r="Q6" s="58">
        <f t="shared" si="9"/>
        <v>17</v>
      </c>
      <c r="R6" s="57">
        <f t="shared" si="10"/>
        <v>6</v>
      </c>
      <c r="S6" s="57">
        <f t="shared" si="11"/>
        <v>2</v>
      </c>
      <c r="T6" s="57">
        <v>1</v>
      </c>
      <c r="U6" s="57">
        <v>0</v>
      </c>
      <c r="V6" s="57">
        <v>0</v>
      </c>
      <c r="W6" s="57">
        <v>3</v>
      </c>
      <c r="X6" s="57">
        <f t="shared" si="12"/>
        <v>3</v>
      </c>
      <c r="Y6" s="57">
        <v>8</v>
      </c>
      <c r="Z6" s="57">
        <f t="shared" si="13"/>
        <v>5</v>
      </c>
      <c r="AA6" s="60">
        <f t="shared" si="14"/>
        <v>1.2</v>
      </c>
      <c r="AB6" s="38">
        <f t="shared" si="18"/>
        <v>1.7999999999999998</v>
      </c>
      <c r="AC6" s="38">
        <f t="shared" si="19"/>
        <v>0.47361566089118678</v>
      </c>
      <c r="AD6" s="4">
        <f t="shared" ca="1" si="15"/>
        <v>3.5</v>
      </c>
      <c r="AE6" s="38">
        <f t="shared" si="16"/>
        <v>0.39999999999999997</v>
      </c>
      <c r="AF6" s="4">
        <f t="shared" ca="1" si="3"/>
        <v>3.556</v>
      </c>
      <c r="AG6" s="8">
        <f>1+MATCH($B6,'Lead Tables'!$A:$A,0)</f>
        <v>2</v>
      </c>
      <c r="AH6" s="4" t="str">
        <f>ADDRESS($AG6,1,TRUE,TRUE,"Lead Tables")&amp;":"&amp;ADDRESS($AG6+3,COLUMN('Lead Tables'!$K:$K),TRUE,TRUE)</f>
        <v>'Lead Tables'!$A$2:$K$5</v>
      </c>
      <c r="AI6" s="4" t="str">
        <f>ADDRESS($AG6,1,TRUE,TRUE,"Lead Tables")&amp;":"&amp;ADDRESS($AG6,COLUMN('Lead Tables'!$K:$K),TRUE,TRUE)</f>
        <v>'Lead Tables'!$A$2:$K$2</v>
      </c>
      <c r="AJ6" s="64">
        <v>0.1</v>
      </c>
      <c r="AK6">
        <f t="shared" si="4"/>
        <v>1</v>
      </c>
      <c r="AM6" s="38">
        <f t="shared" si="17"/>
        <v>0</v>
      </c>
      <c r="AP6"/>
    </row>
    <row r="7" spans="1:42">
      <c r="A7" s="2" t="str">
        <f t="shared" si="0"/>
        <v>Hitano R-08.0x16.0</v>
      </c>
      <c r="B7" s="35" t="s">
        <v>49</v>
      </c>
      <c r="C7" s="6" t="s">
        <v>59</v>
      </c>
      <c r="D7" s="6" t="s">
        <v>113</v>
      </c>
      <c r="E7" s="7">
        <v>0.5</v>
      </c>
      <c r="F7" s="7">
        <v>2</v>
      </c>
      <c r="G7" s="7">
        <v>0.3</v>
      </c>
      <c r="H7" s="7">
        <v>20.7</v>
      </c>
      <c r="I7" s="31">
        <f t="shared" si="1"/>
        <v>8</v>
      </c>
      <c r="J7" s="31">
        <f t="shared" si="2"/>
        <v>16</v>
      </c>
      <c r="K7" s="37">
        <f t="shared" ca="1" si="5"/>
        <v>140</v>
      </c>
      <c r="L7" s="4">
        <f t="shared" si="6"/>
        <v>26.299999999999997</v>
      </c>
      <c r="M7" s="4">
        <f t="shared" ca="1" si="7"/>
        <v>0.5</v>
      </c>
      <c r="N7" s="4">
        <f t="shared" si="8"/>
        <v>0.15</v>
      </c>
      <c r="O7" s="26">
        <f t="shared" si="20"/>
        <v>2.4526811374631312</v>
      </c>
      <c r="P7" s="26">
        <f t="shared" si="21"/>
        <v>1.952527562629145</v>
      </c>
      <c r="Q7" s="58">
        <f t="shared" si="9"/>
        <v>17</v>
      </c>
      <c r="R7" s="57">
        <f t="shared" si="10"/>
        <v>6</v>
      </c>
      <c r="S7" s="57">
        <f t="shared" si="11"/>
        <v>2</v>
      </c>
      <c r="T7" s="57">
        <v>1</v>
      </c>
      <c r="U7" s="57">
        <v>0</v>
      </c>
      <c r="V7" s="57">
        <v>0</v>
      </c>
      <c r="W7" s="57">
        <v>3</v>
      </c>
      <c r="X7" s="57">
        <f t="shared" si="12"/>
        <v>3</v>
      </c>
      <c r="Y7" s="57">
        <v>8</v>
      </c>
      <c r="Z7" s="57">
        <f t="shared" si="13"/>
        <v>5</v>
      </c>
      <c r="AA7" s="60">
        <f t="shared" si="14"/>
        <v>1.2</v>
      </c>
      <c r="AB7" s="38">
        <f t="shared" si="18"/>
        <v>1.7999999999999998</v>
      </c>
      <c r="AC7" s="38">
        <f t="shared" si="19"/>
        <v>0.47361566089118678</v>
      </c>
      <c r="AD7" s="4">
        <f t="shared" ca="1" si="15"/>
        <v>3.5</v>
      </c>
      <c r="AE7" s="38">
        <f t="shared" si="16"/>
        <v>0.39999999999999997</v>
      </c>
      <c r="AF7" s="4">
        <f t="shared" ca="1" si="3"/>
        <v>3.556</v>
      </c>
      <c r="AG7" s="8">
        <f>1+MATCH($B7,'Lead Tables'!$A:$A,0)</f>
        <v>2</v>
      </c>
      <c r="AH7" s="4" t="str">
        <f>ADDRESS($AG7,1,TRUE,TRUE,"Lead Tables")&amp;":"&amp;ADDRESS($AG7+3,COLUMN('Lead Tables'!$K:$K),TRUE,TRUE)</f>
        <v>'Lead Tables'!$A$2:$K$5</v>
      </c>
      <c r="AI7" s="4" t="str">
        <f>ADDRESS($AG7,1,TRUE,TRUE,"Lead Tables")&amp;":"&amp;ADDRESS($AG7,COLUMN('Lead Tables'!$K:$K),TRUE,TRUE)</f>
        <v>'Lead Tables'!$A$2:$K$2</v>
      </c>
      <c r="AJ7" s="64">
        <v>0.1</v>
      </c>
      <c r="AK7">
        <f t="shared" si="4"/>
        <v>1</v>
      </c>
      <c r="AM7" s="38">
        <f t="shared" si="17"/>
        <v>0</v>
      </c>
      <c r="AN7">
        <v>18.49189453</v>
      </c>
      <c r="AP7"/>
    </row>
    <row r="8" spans="1:42">
      <c r="A8" s="2" t="str">
        <f t="shared" si="0"/>
        <v>Hitano R-10.0x13.0</v>
      </c>
      <c r="B8" s="35" t="s">
        <v>49</v>
      </c>
      <c r="C8" s="6" t="s">
        <v>59</v>
      </c>
      <c r="D8" s="6" t="s">
        <v>72</v>
      </c>
      <c r="E8" s="7">
        <v>0.5</v>
      </c>
      <c r="F8" s="7">
        <v>2</v>
      </c>
      <c r="G8" s="7">
        <v>0.3</v>
      </c>
      <c r="H8" s="7">
        <v>20.7</v>
      </c>
      <c r="I8" s="31">
        <f t="shared" si="1"/>
        <v>10</v>
      </c>
      <c r="J8" s="31">
        <f t="shared" si="2"/>
        <v>13</v>
      </c>
      <c r="K8" s="37">
        <f t="shared" ca="1" si="5"/>
        <v>200</v>
      </c>
      <c r="L8" s="4">
        <f t="shared" si="6"/>
        <v>26.299999999999997</v>
      </c>
      <c r="M8" s="4">
        <f t="shared" ca="1" si="7"/>
        <v>0.6</v>
      </c>
      <c r="N8" s="4">
        <f t="shared" si="8"/>
        <v>0.2</v>
      </c>
      <c r="O8" s="26">
        <f t="shared" si="20"/>
        <v>2.4992188057886255</v>
      </c>
      <c r="P8" s="26">
        <f t="shared" si="21"/>
        <v>1.9663147050153444</v>
      </c>
      <c r="Q8" s="58">
        <f t="shared" si="9"/>
        <v>17</v>
      </c>
      <c r="R8" s="57">
        <f t="shared" si="10"/>
        <v>6</v>
      </c>
      <c r="S8" s="57">
        <f t="shared" si="11"/>
        <v>2</v>
      </c>
      <c r="T8" s="57">
        <v>1</v>
      </c>
      <c r="U8" s="57">
        <v>0</v>
      </c>
      <c r="V8" s="57">
        <v>0</v>
      </c>
      <c r="W8" s="57">
        <v>3</v>
      </c>
      <c r="X8" s="57">
        <f t="shared" si="12"/>
        <v>3</v>
      </c>
      <c r="Y8" s="57">
        <v>8</v>
      </c>
      <c r="Z8" s="57">
        <f t="shared" si="13"/>
        <v>5</v>
      </c>
      <c r="AA8" s="60">
        <f t="shared" si="14"/>
        <v>1.2</v>
      </c>
      <c r="AB8" s="38">
        <f t="shared" si="18"/>
        <v>1.7999999999999998</v>
      </c>
      <c r="AC8" s="38">
        <f t="shared" si="19"/>
        <v>0.47361566089118678</v>
      </c>
      <c r="AD8" s="4">
        <f t="shared" ca="1" si="15"/>
        <v>5</v>
      </c>
      <c r="AE8" s="38">
        <f t="shared" si="16"/>
        <v>0.39999999999999997</v>
      </c>
      <c r="AF8" s="4">
        <f t="shared" ca="1" si="3"/>
        <v>5.08</v>
      </c>
      <c r="AG8" s="8">
        <f>1+MATCH($B8,'Lead Tables'!$A:$A,0)</f>
        <v>2</v>
      </c>
      <c r="AH8" s="4" t="str">
        <f>ADDRESS($AG8,1,TRUE,TRUE,"Lead Tables")&amp;":"&amp;ADDRESS($AG8+3,COLUMN('Lead Tables'!$K:$K),TRUE,TRUE)</f>
        <v>'Lead Tables'!$A$2:$K$5</v>
      </c>
      <c r="AI8" s="4" t="str">
        <f>ADDRESS($AG8,1,TRUE,TRUE,"Lead Tables")&amp;":"&amp;ADDRESS($AG8,COLUMN('Lead Tables'!$K:$K),TRUE,TRUE)</f>
        <v>'Lead Tables'!$A$2:$K$2</v>
      </c>
      <c r="AJ8" s="64">
        <v>0.1</v>
      </c>
      <c r="AK8">
        <f t="shared" si="4"/>
        <v>1</v>
      </c>
      <c r="AM8" s="38">
        <f t="shared" si="17"/>
        <v>0</v>
      </c>
      <c r="AN8">
        <v>6.055002</v>
      </c>
      <c r="AP8"/>
    </row>
    <row r="9" spans="1:42">
      <c r="A9" s="2" t="str">
        <f t="shared" si="0"/>
        <v>Hitano R-10.0x16.0</v>
      </c>
      <c r="B9" s="35" t="s">
        <v>49</v>
      </c>
      <c r="C9" s="6" t="s">
        <v>59</v>
      </c>
      <c r="D9" s="6" t="s">
        <v>74</v>
      </c>
      <c r="E9" s="7">
        <v>0.5</v>
      </c>
      <c r="F9" s="7">
        <v>2</v>
      </c>
      <c r="G9" s="7">
        <v>0.3</v>
      </c>
      <c r="H9" s="7">
        <v>20.7</v>
      </c>
      <c r="I9" s="31">
        <f t="shared" si="1"/>
        <v>10</v>
      </c>
      <c r="J9" s="31">
        <f t="shared" si="2"/>
        <v>16</v>
      </c>
      <c r="K9" s="37">
        <f t="shared" ca="1" si="5"/>
        <v>200</v>
      </c>
      <c r="L9" s="4">
        <f t="shared" si="6"/>
        <v>26.299999999999997</v>
      </c>
      <c r="M9" s="4">
        <f t="shared" ca="1" si="7"/>
        <v>0.6</v>
      </c>
      <c r="N9" s="4">
        <f t="shared" si="8"/>
        <v>0.2</v>
      </c>
      <c r="O9" s="26">
        <f t="shared" si="20"/>
        <v>2.4992188057886255</v>
      </c>
      <c r="P9" s="26">
        <f t="shared" si="21"/>
        <v>1.9663147050153444</v>
      </c>
      <c r="Q9" s="58">
        <f t="shared" si="9"/>
        <v>17</v>
      </c>
      <c r="R9" s="57">
        <f t="shared" si="10"/>
        <v>6</v>
      </c>
      <c r="S9" s="57">
        <f t="shared" si="11"/>
        <v>2</v>
      </c>
      <c r="T9" s="57">
        <v>1</v>
      </c>
      <c r="U9" s="57">
        <v>0</v>
      </c>
      <c r="V9" s="57">
        <v>0</v>
      </c>
      <c r="W9" s="57">
        <v>3</v>
      </c>
      <c r="X9" s="57">
        <f t="shared" si="12"/>
        <v>3</v>
      </c>
      <c r="Y9" s="57">
        <v>8</v>
      </c>
      <c r="Z9" s="57">
        <f t="shared" si="13"/>
        <v>5</v>
      </c>
      <c r="AA9" s="60">
        <f t="shared" si="14"/>
        <v>1.2</v>
      </c>
      <c r="AB9" s="38">
        <f t="shared" si="18"/>
        <v>1.7999999999999998</v>
      </c>
      <c r="AC9" s="38">
        <f t="shared" si="19"/>
        <v>0.47361566089118678</v>
      </c>
      <c r="AD9" s="4">
        <f t="shared" ca="1" si="15"/>
        <v>5</v>
      </c>
      <c r="AE9" s="38">
        <f t="shared" si="16"/>
        <v>0.39999999999999997</v>
      </c>
      <c r="AF9" s="4">
        <f t="shared" ca="1" si="3"/>
        <v>5.08</v>
      </c>
      <c r="AG9" s="8">
        <f>1+MATCH($B9,'Lead Tables'!$A:$A,0)</f>
        <v>2</v>
      </c>
      <c r="AH9" s="4" t="str">
        <f>ADDRESS($AG9,1,TRUE,TRUE,"Lead Tables")&amp;":"&amp;ADDRESS($AG9+3,COLUMN('Lead Tables'!$K:$K),TRUE,TRUE)</f>
        <v>'Lead Tables'!$A$2:$K$5</v>
      </c>
      <c r="AI9" s="4" t="str">
        <f>ADDRESS($AG9,1,TRUE,TRUE,"Lead Tables")&amp;":"&amp;ADDRESS($AG9,COLUMN('Lead Tables'!$K:$K),TRUE,TRUE)</f>
        <v>'Lead Tables'!$A$2:$K$2</v>
      </c>
      <c r="AJ9" s="64">
        <v>0.1</v>
      </c>
      <c r="AK9">
        <f t="shared" si="4"/>
        <v>1</v>
      </c>
      <c r="AM9" s="38">
        <f t="shared" si="17"/>
        <v>0</v>
      </c>
      <c r="AP9"/>
    </row>
    <row r="10" spans="1:42">
      <c r="A10" s="2" t="str">
        <f t="shared" si="0"/>
        <v>Hitano R-10.0x21.0</v>
      </c>
      <c r="B10" s="35" t="s">
        <v>49</v>
      </c>
      <c r="C10" s="6" t="s">
        <v>59</v>
      </c>
      <c r="D10" s="6" t="s">
        <v>75</v>
      </c>
      <c r="E10" s="7">
        <v>0.5</v>
      </c>
      <c r="F10" s="7">
        <v>2</v>
      </c>
      <c r="G10" s="7">
        <v>0.3</v>
      </c>
      <c r="H10" s="7">
        <v>20.7</v>
      </c>
      <c r="I10" s="31">
        <f t="shared" si="1"/>
        <v>10</v>
      </c>
      <c r="J10" s="31">
        <f t="shared" si="2"/>
        <v>21</v>
      </c>
      <c r="K10" s="37">
        <f t="shared" ca="1" si="5"/>
        <v>200</v>
      </c>
      <c r="L10" s="4">
        <f t="shared" si="6"/>
        <v>26.299999999999997</v>
      </c>
      <c r="M10" s="4">
        <f t="shared" ca="1" si="7"/>
        <v>0.6</v>
      </c>
      <c r="N10" s="4">
        <f t="shared" si="8"/>
        <v>0.2</v>
      </c>
      <c r="O10" s="26">
        <f t="shared" si="20"/>
        <v>2.4992188057886255</v>
      </c>
      <c r="P10" s="26">
        <f t="shared" si="21"/>
        <v>1.9663147050153444</v>
      </c>
      <c r="Q10" s="58">
        <f t="shared" si="9"/>
        <v>17</v>
      </c>
      <c r="R10" s="57">
        <f t="shared" si="10"/>
        <v>6</v>
      </c>
      <c r="S10" s="57">
        <f t="shared" si="11"/>
        <v>2</v>
      </c>
      <c r="T10" s="57">
        <v>1</v>
      </c>
      <c r="U10" s="57">
        <v>0</v>
      </c>
      <c r="V10" s="57">
        <v>0</v>
      </c>
      <c r="W10" s="57">
        <v>3</v>
      </c>
      <c r="X10" s="57">
        <f t="shared" si="12"/>
        <v>3</v>
      </c>
      <c r="Y10" s="57">
        <v>8</v>
      </c>
      <c r="Z10" s="57">
        <f t="shared" si="13"/>
        <v>5</v>
      </c>
      <c r="AA10" s="60">
        <f t="shared" si="14"/>
        <v>1.2</v>
      </c>
      <c r="AB10" s="38">
        <f t="shared" si="18"/>
        <v>1.7999999999999998</v>
      </c>
      <c r="AC10" s="38">
        <f t="shared" si="19"/>
        <v>0.47361566089118678</v>
      </c>
      <c r="AD10" s="4">
        <f t="shared" ca="1" si="15"/>
        <v>5</v>
      </c>
      <c r="AE10" s="38">
        <f t="shared" si="16"/>
        <v>0.39999999999999997</v>
      </c>
      <c r="AF10" s="4">
        <f t="shared" ca="1" si="3"/>
        <v>5.08</v>
      </c>
      <c r="AG10" s="8">
        <f>1+MATCH($B10,'Lead Tables'!$A:$A,0)</f>
        <v>2</v>
      </c>
      <c r="AH10" s="4" t="str">
        <f>ADDRESS($AG10,1,TRUE,TRUE,"Lead Tables")&amp;":"&amp;ADDRESS($AG10+3,COLUMN('Lead Tables'!$K:$K),TRUE,TRUE)</f>
        <v>'Lead Tables'!$A$2:$K$5</v>
      </c>
      <c r="AI10" s="4" t="str">
        <f>ADDRESS($AG10,1,TRUE,TRUE,"Lead Tables")&amp;":"&amp;ADDRESS($AG10,COLUMN('Lead Tables'!$K:$K),TRUE,TRUE)</f>
        <v>'Lead Tables'!$A$2:$K$2</v>
      </c>
      <c r="AJ10" s="64">
        <v>0.1</v>
      </c>
      <c r="AK10">
        <f t="shared" si="4"/>
        <v>1</v>
      </c>
      <c r="AM10" s="38">
        <f t="shared" si="17"/>
        <v>0</v>
      </c>
      <c r="AP10"/>
    </row>
    <row r="11" spans="1:42">
      <c r="A11" s="2" t="str">
        <f t="shared" si="0"/>
        <v>Hitano R-13.0x21.0</v>
      </c>
      <c r="B11" s="35" t="s">
        <v>49</v>
      </c>
      <c r="C11" s="6" t="s">
        <v>59</v>
      </c>
      <c r="D11" s="6" t="s">
        <v>76</v>
      </c>
      <c r="E11" s="7">
        <v>0.5</v>
      </c>
      <c r="F11" s="7">
        <v>2</v>
      </c>
      <c r="G11" s="7">
        <v>0.3</v>
      </c>
      <c r="H11" s="7">
        <v>20.7</v>
      </c>
      <c r="I11" s="31">
        <f t="shared" si="1"/>
        <v>13</v>
      </c>
      <c r="J11" s="31">
        <f t="shared" si="2"/>
        <v>21</v>
      </c>
      <c r="K11" s="37">
        <f t="shared" ca="1" si="5"/>
        <v>200</v>
      </c>
      <c r="L11" s="4">
        <f t="shared" si="6"/>
        <v>26.299999999999997</v>
      </c>
      <c r="M11" s="4">
        <f t="shared" ca="1" si="7"/>
        <v>0.6</v>
      </c>
      <c r="N11" s="4">
        <f t="shared" si="8"/>
        <v>0.2</v>
      </c>
      <c r="O11" s="26">
        <f t="shared" si="20"/>
        <v>2.8370005170121635</v>
      </c>
      <c r="P11" s="26">
        <f t="shared" si="21"/>
        <v>2.0197123118354998</v>
      </c>
      <c r="Q11" s="58">
        <f t="shared" si="9"/>
        <v>17</v>
      </c>
      <c r="R11" s="57">
        <f t="shared" si="10"/>
        <v>6</v>
      </c>
      <c r="S11" s="57">
        <f t="shared" si="11"/>
        <v>2</v>
      </c>
      <c r="T11" s="57">
        <v>1</v>
      </c>
      <c r="U11" s="57">
        <v>0</v>
      </c>
      <c r="V11" s="57">
        <v>0</v>
      </c>
      <c r="W11" s="57">
        <v>3</v>
      </c>
      <c r="X11" s="57">
        <f t="shared" si="12"/>
        <v>3</v>
      </c>
      <c r="Y11" s="57">
        <v>8</v>
      </c>
      <c r="Z11" s="57">
        <f t="shared" si="13"/>
        <v>5</v>
      </c>
      <c r="AA11" s="60">
        <f t="shared" si="14"/>
        <v>1.4</v>
      </c>
      <c r="AB11" s="38">
        <f t="shared" si="18"/>
        <v>2.0999999999999996</v>
      </c>
      <c r="AC11" s="38">
        <f t="shared" si="19"/>
        <v>0.53846153846153844</v>
      </c>
      <c r="AD11" s="4">
        <f t="shared" ca="1" si="15"/>
        <v>5</v>
      </c>
      <c r="AE11" s="38">
        <f t="shared" si="16"/>
        <v>0.46666666666666662</v>
      </c>
      <c r="AF11" s="4">
        <f t="shared" ca="1" si="3"/>
        <v>5.08</v>
      </c>
      <c r="AG11" s="8">
        <f>1+MATCH($B11,'Lead Tables'!$A:$A,0)</f>
        <v>2</v>
      </c>
      <c r="AH11" s="4" t="str">
        <f>ADDRESS($AG11,1,TRUE,TRUE,"Lead Tables")&amp;":"&amp;ADDRESS($AG11+3,COLUMN('Lead Tables'!$K:$K),TRUE,TRUE)</f>
        <v>'Lead Tables'!$A$2:$K$5</v>
      </c>
      <c r="AI11" s="4" t="str">
        <f>ADDRESS($AG11,1,TRUE,TRUE,"Lead Tables")&amp;":"&amp;ADDRESS($AG11,COLUMN('Lead Tables'!$K:$K),TRUE,TRUE)</f>
        <v>'Lead Tables'!$A$2:$K$2</v>
      </c>
      <c r="AJ11" s="64">
        <v>0.1</v>
      </c>
      <c r="AK11">
        <f t="shared" si="4"/>
        <v>1</v>
      </c>
      <c r="AM11" s="38">
        <f t="shared" ref="AM11:AM18" si="22">AL11*1.261</f>
        <v>0</v>
      </c>
      <c r="AN11">
        <f>AN8*AN7</f>
        <v>111.96845836293906</v>
      </c>
      <c r="AP11"/>
    </row>
    <row r="12" spans="1:42">
      <c r="A12" s="2" t="str">
        <f t="shared" si="0"/>
        <v>Hitano R-13.0x26.0</v>
      </c>
      <c r="B12" s="35" t="s">
        <v>49</v>
      </c>
      <c r="C12" s="6" t="s">
        <v>59</v>
      </c>
      <c r="D12" s="6" t="s">
        <v>77</v>
      </c>
      <c r="E12" s="7">
        <v>0.5</v>
      </c>
      <c r="F12" s="7">
        <v>2</v>
      </c>
      <c r="G12" s="7">
        <v>0.3</v>
      </c>
      <c r="H12" s="7">
        <v>20.7</v>
      </c>
      <c r="I12" s="31">
        <f t="shared" si="1"/>
        <v>13</v>
      </c>
      <c r="J12" s="31">
        <f t="shared" si="2"/>
        <v>26</v>
      </c>
      <c r="K12" s="37">
        <f t="shared" ca="1" si="5"/>
        <v>200</v>
      </c>
      <c r="L12" s="4">
        <f t="shared" si="6"/>
        <v>26.299999999999997</v>
      </c>
      <c r="M12" s="4">
        <f t="shared" ca="1" si="7"/>
        <v>0.6</v>
      </c>
      <c r="N12" s="4">
        <f t="shared" si="8"/>
        <v>0.2</v>
      </c>
      <c r="O12" s="26">
        <f t="shared" si="20"/>
        <v>2.8370005170121635</v>
      </c>
      <c r="P12" s="26">
        <f t="shared" si="21"/>
        <v>2.0197123118354998</v>
      </c>
      <c r="Q12" s="58">
        <f t="shared" si="9"/>
        <v>17</v>
      </c>
      <c r="R12" s="57">
        <f t="shared" si="10"/>
        <v>6</v>
      </c>
      <c r="S12" s="57">
        <f t="shared" si="11"/>
        <v>2</v>
      </c>
      <c r="T12" s="57">
        <v>1</v>
      </c>
      <c r="U12" s="57">
        <v>0</v>
      </c>
      <c r="V12" s="57">
        <v>0</v>
      </c>
      <c r="W12" s="57">
        <v>3</v>
      </c>
      <c r="X12" s="57">
        <f t="shared" si="12"/>
        <v>3</v>
      </c>
      <c r="Y12" s="57">
        <v>8</v>
      </c>
      <c r="Z12" s="57">
        <f t="shared" si="13"/>
        <v>5</v>
      </c>
      <c r="AA12" s="60">
        <f t="shared" si="14"/>
        <v>1.4</v>
      </c>
      <c r="AB12" s="38">
        <f t="shared" si="18"/>
        <v>2.0999999999999996</v>
      </c>
      <c r="AC12" s="38">
        <f t="shared" si="19"/>
        <v>0.53846153846153844</v>
      </c>
      <c r="AD12" s="4">
        <f t="shared" ca="1" si="15"/>
        <v>5</v>
      </c>
      <c r="AE12" s="38">
        <f t="shared" si="16"/>
        <v>0.46666666666666662</v>
      </c>
      <c r="AF12" s="4">
        <f t="shared" ca="1" si="3"/>
        <v>5.08</v>
      </c>
      <c r="AG12" s="8">
        <f>1+MATCH($B12,'Lead Tables'!$A:$A,0)</f>
        <v>2</v>
      </c>
      <c r="AH12" s="4" t="str">
        <f>ADDRESS($AG12,1,TRUE,TRUE,"Lead Tables")&amp;":"&amp;ADDRESS($AG12+3,COLUMN('Lead Tables'!$K:$K),TRUE,TRUE)</f>
        <v>'Lead Tables'!$A$2:$K$5</v>
      </c>
      <c r="AI12" s="4" t="str">
        <f>ADDRESS($AG12,1,TRUE,TRUE,"Lead Tables")&amp;":"&amp;ADDRESS($AG12,COLUMN('Lead Tables'!$K:$K),TRUE,TRUE)</f>
        <v>'Lead Tables'!$A$2:$K$2</v>
      </c>
      <c r="AJ12" s="64">
        <v>0.1</v>
      </c>
      <c r="AK12">
        <f t="shared" si="4"/>
        <v>1</v>
      </c>
      <c r="AM12" s="38">
        <f t="shared" si="22"/>
        <v>0</v>
      </c>
      <c r="AP12"/>
    </row>
    <row r="13" spans="1:42">
      <c r="A13" s="2" t="str">
        <f t="shared" si="0"/>
        <v>Hitano R-16.0x26.0</v>
      </c>
      <c r="B13" s="35" t="s">
        <v>49</v>
      </c>
      <c r="C13" s="6" t="s">
        <v>59</v>
      </c>
      <c r="D13" s="6" t="s">
        <v>78</v>
      </c>
      <c r="E13" s="7">
        <v>0.5</v>
      </c>
      <c r="F13" s="7">
        <v>2</v>
      </c>
      <c r="G13" s="7">
        <v>0.3</v>
      </c>
      <c r="H13" s="7">
        <v>20.7</v>
      </c>
      <c r="I13" s="31">
        <f t="shared" si="1"/>
        <v>16</v>
      </c>
      <c r="J13" s="31">
        <f t="shared" si="2"/>
        <v>26</v>
      </c>
      <c r="K13" s="37">
        <f t="shared" ca="1" si="5"/>
        <v>300</v>
      </c>
      <c r="L13" s="4">
        <f t="shared" si="6"/>
        <v>26.299999999999997</v>
      </c>
      <c r="M13" s="4">
        <f t="shared" ca="1" si="7"/>
        <v>0.8</v>
      </c>
      <c r="N13" s="4">
        <f t="shared" si="8"/>
        <v>0.2</v>
      </c>
      <c r="O13" s="26">
        <f t="shared" si="20"/>
        <v>3.6795964541227693</v>
      </c>
      <c r="P13" s="26">
        <f t="shared" si="21"/>
        <v>2.1463664626523471</v>
      </c>
      <c r="Q13" s="58">
        <f t="shared" si="9"/>
        <v>17</v>
      </c>
      <c r="R13" s="57">
        <f t="shared" si="10"/>
        <v>6</v>
      </c>
      <c r="S13" s="57">
        <f t="shared" si="11"/>
        <v>2</v>
      </c>
      <c r="T13" s="57">
        <v>1</v>
      </c>
      <c r="U13" s="57">
        <v>0</v>
      </c>
      <c r="V13" s="57">
        <v>0</v>
      </c>
      <c r="W13" s="57">
        <v>3</v>
      </c>
      <c r="X13" s="57">
        <f t="shared" si="12"/>
        <v>3</v>
      </c>
      <c r="Y13" s="57">
        <v>8</v>
      </c>
      <c r="Z13" s="57">
        <f t="shared" si="13"/>
        <v>5</v>
      </c>
      <c r="AA13" s="60">
        <f t="shared" si="14"/>
        <v>2.8</v>
      </c>
      <c r="AB13" s="38">
        <f t="shared" si="18"/>
        <v>4.1999999999999993</v>
      </c>
      <c r="AC13" s="38">
        <f t="shared" si="19"/>
        <v>0.53846153846153844</v>
      </c>
      <c r="AD13" s="4">
        <f t="shared" ca="1" si="15"/>
        <v>7.5</v>
      </c>
      <c r="AE13" s="38">
        <f t="shared" si="16"/>
        <v>0.93333333333333324</v>
      </c>
      <c r="AF13" s="4">
        <f t="shared" ca="1" si="3"/>
        <v>7.6199999999999992</v>
      </c>
      <c r="AG13" s="8">
        <f>1+MATCH($B13,'Lead Tables'!$A:$A,0)</f>
        <v>2</v>
      </c>
      <c r="AH13" s="4" t="str">
        <f>ADDRESS($AG13,1,TRUE,TRUE,"Lead Tables")&amp;":"&amp;ADDRESS($AG13+3,COLUMN('Lead Tables'!$K:$K),TRUE,TRUE)</f>
        <v>'Lead Tables'!$A$2:$K$5</v>
      </c>
      <c r="AI13" s="4" t="str">
        <f>ADDRESS($AG13,1,TRUE,TRUE,"Lead Tables")&amp;":"&amp;ADDRESS($AG13,COLUMN('Lead Tables'!$K:$K),TRUE,TRUE)</f>
        <v>'Lead Tables'!$A$2:$K$2</v>
      </c>
      <c r="AJ13" s="64">
        <v>0.1</v>
      </c>
      <c r="AK13">
        <f t="shared" si="4"/>
        <v>1</v>
      </c>
      <c r="AM13" s="38">
        <f t="shared" si="22"/>
        <v>0</v>
      </c>
      <c r="AP13"/>
    </row>
    <row r="14" spans="1:42">
      <c r="A14" s="2" t="str">
        <f t="shared" si="0"/>
        <v>Hitano R-16.0x32.0</v>
      </c>
      <c r="B14" s="35" t="s">
        <v>49</v>
      </c>
      <c r="C14" s="6" t="s">
        <v>59</v>
      </c>
      <c r="D14" s="6" t="s">
        <v>81</v>
      </c>
      <c r="E14" s="7">
        <v>0.5</v>
      </c>
      <c r="F14" s="7">
        <v>2</v>
      </c>
      <c r="G14" s="7">
        <v>0.3</v>
      </c>
      <c r="H14" s="7">
        <v>20.7</v>
      </c>
      <c r="I14" s="31">
        <f t="shared" si="1"/>
        <v>16</v>
      </c>
      <c r="J14" s="31">
        <f t="shared" si="2"/>
        <v>32</v>
      </c>
      <c r="K14" s="37">
        <f t="shared" ca="1" si="5"/>
        <v>300</v>
      </c>
      <c r="L14" s="4">
        <f t="shared" si="6"/>
        <v>26.299999999999997</v>
      </c>
      <c r="M14" s="4">
        <f t="shared" ca="1" si="7"/>
        <v>0.8</v>
      </c>
      <c r="N14" s="4">
        <f t="shared" si="8"/>
        <v>0.2</v>
      </c>
      <c r="O14" s="26">
        <f t="shared" si="20"/>
        <v>3.6795964541227693</v>
      </c>
      <c r="P14" s="26">
        <f t="shared" si="21"/>
        <v>2.1463664626523471</v>
      </c>
      <c r="Q14" s="58">
        <f t="shared" si="9"/>
        <v>17</v>
      </c>
      <c r="R14" s="57">
        <f t="shared" si="10"/>
        <v>6</v>
      </c>
      <c r="S14" s="57">
        <f t="shared" si="11"/>
        <v>2</v>
      </c>
      <c r="T14" s="57">
        <v>1</v>
      </c>
      <c r="U14" s="57">
        <v>0</v>
      </c>
      <c r="V14" s="57">
        <v>0</v>
      </c>
      <c r="W14" s="57">
        <v>3</v>
      </c>
      <c r="X14" s="57">
        <f t="shared" si="12"/>
        <v>3</v>
      </c>
      <c r="Y14" s="57">
        <v>8</v>
      </c>
      <c r="Z14" s="57">
        <f t="shared" si="13"/>
        <v>5</v>
      </c>
      <c r="AA14" s="60">
        <f t="shared" si="14"/>
        <v>2.8</v>
      </c>
      <c r="AB14" s="38">
        <f t="shared" si="18"/>
        <v>4.1999999999999993</v>
      </c>
      <c r="AC14" s="38">
        <f t="shared" si="19"/>
        <v>0.53846153846153844</v>
      </c>
      <c r="AD14" s="4">
        <f t="shared" ca="1" si="15"/>
        <v>7.5</v>
      </c>
      <c r="AE14" s="38">
        <f t="shared" si="16"/>
        <v>0.93333333333333324</v>
      </c>
      <c r="AF14" s="4">
        <f t="shared" ca="1" si="3"/>
        <v>7.6199999999999992</v>
      </c>
      <c r="AG14" s="8">
        <f>1+MATCH($B14,'Lead Tables'!$A:$A,0)</f>
        <v>2</v>
      </c>
      <c r="AH14" s="4" t="str">
        <f>ADDRESS($AG14,1,TRUE,TRUE,"Lead Tables")&amp;":"&amp;ADDRESS($AG14+3,COLUMN('Lead Tables'!$K:$K),TRUE,TRUE)</f>
        <v>'Lead Tables'!$A$2:$K$5</v>
      </c>
      <c r="AI14" s="4" t="str">
        <f>ADDRESS($AG14,1,TRUE,TRUE,"Lead Tables")&amp;":"&amp;ADDRESS($AG14,COLUMN('Lead Tables'!$K:$K),TRUE,TRUE)</f>
        <v>'Lead Tables'!$A$2:$K$2</v>
      </c>
      <c r="AJ14" s="64">
        <v>0.1</v>
      </c>
      <c r="AK14">
        <f t="shared" si="4"/>
        <v>1</v>
      </c>
      <c r="AM14" s="38">
        <f t="shared" si="22"/>
        <v>0</v>
      </c>
      <c r="AP14"/>
    </row>
    <row r="15" spans="1:42">
      <c r="A15" s="2" t="str">
        <f t="shared" si="0"/>
        <v>Hitano R-16.0x36.0</v>
      </c>
      <c r="B15" s="35" t="s">
        <v>49</v>
      </c>
      <c r="C15" s="6" t="s">
        <v>59</v>
      </c>
      <c r="D15" s="6" t="s">
        <v>79</v>
      </c>
      <c r="E15" s="7">
        <v>0.5</v>
      </c>
      <c r="F15" s="7">
        <v>2</v>
      </c>
      <c r="G15" s="7">
        <v>0.3</v>
      </c>
      <c r="H15" s="7">
        <v>20.7</v>
      </c>
      <c r="I15" s="31">
        <f t="shared" si="1"/>
        <v>16</v>
      </c>
      <c r="J15" s="31">
        <f t="shared" si="2"/>
        <v>36</v>
      </c>
      <c r="K15" s="37">
        <f t="shared" ca="1" si="5"/>
        <v>300</v>
      </c>
      <c r="L15" s="4">
        <f t="shared" si="6"/>
        <v>26.299999999999997</v>
      </c>
      <c r="M15" s="4">
        <f t="shared" ca="1" si="7"/>
        <v>0.8</v>
      </c>
      <c r="N15" s="4">
        <f t="shared" si="8"/>
        <v>0.2</v>
      </c>
      <c r="O15" s="26">
        <f t="shared" si="20"/>
        <v>3.6795964541227693</v>
      </c>
      <c r="P15" s="26">
        <f t="shared" si="21"/>
        <v>2.1463664626523471</v>
      </c>
      <c r="Q15" s="58">
        <f t="shared" si="9"/>
        <v>17</v>
      </c>
      <c r="R15" s="57">
        <f t="shared" si="10"/>
        <v>6</v>
      </c>
      <c r="S15" s="57">
        <f t="shared" si="11"/>
        <v>2</v>
      </c>
      <c r="T15" s="57">
        <v>1</v>
      </c>
      <c r="U15" s="57">
        <v>0</v>
      </c>
      <c r="V15" s="57">
        <v>0</v>
      </c>
      <c r="W15" s="57">
        <v>3</v>
      </c>
      <c r="X15" s="57">
        <f t="shared" si="12"/>
        <v>3</v>
      </c>
      <c r="Y15" s="57">
        <v>8</v>
      </c>
      <c r="Z15" s="57">
        <f t="shared" si="13"/>
        <v>5</v>
      </c>
      <c r="AA15" s="60">
        <f t="shared" si="14"/>
        <v>2.8</v>
      </c>
      <c r="AB15" s="38">
        <f t="shared" si="18"/>
        <v>4.1999999999999993</v>
      </c>
      <c r="AC15" s="38">
        <f t="shared" si="19"/>
        <v>0.53846153846153844</v>
      </c>
      <c r="AD15" s="4">
        <f t="shared" ca="1" si="15"/>
        <v>7.5</v>
      </c>
      <c r="AE15" s="38">
        <f t="shared" ref="AE15:AE63" si="23">AA15/3</f>
        <v>0.93333333333333324</v>
      </c>
      <c r="AF15" s="4">
        <f t="shared" ca="1" si="3"/>
        <v>7.6199999999999992</v>
      </c>
      <c r="AG15" s="8">
        <f>1+MATCH($B15,'Lead Tables'!$A:$A,0)</f>
        <v>2</v>
      </c>
      <c r="AH15" s="4" t="str">
        <f>ADDRESS($AG15,1,TRUE,TRUE,"Lead Tables")&amp;":"&amp;ADDRESS($AG15+3,COLUMN('Lead Tables'!$K:$K),TRUE,TRUE)</f>
        <v>'Lead Tables'!$A$2:$K$5</v>
      </c>
      <c r="AI15" s="4" t="str">
        <f>ADDRESS($AG15,1,TRUE,TRUE,"Lead Tables")&amp;":"&amp;ADDRESS($AG15,COLUMN('Lead Tables'!$K:$K),TRUE,TRUE)</f>
        <v>'Lead Tables'!$A$2:$K$2</v>
      </c>
      <c r="AJ15" s="64">
        <v>0.1</v>
      </c>
      <c r="AK15">
        <f t="shared" si="4"/>
        <v>1</v>
      </c>
      <c r="AM15" s="38">
        <f t="shared" si="22"/>
        <v>0</v>
      </c>
      <c r="AP15"/>
    </row>
    <row r="16" spans="1:42">
      <c r="A16" s="2" t="str">
        <f t="shared" si="0"/>
        <v>Hitano R-18.0x32.0</v>
      </c>
      <c r="B16" s="35" t="s">
        <v>49</v>
      </c>
      <c r="C16" s="6" t="s">
        <v>59</v>
      </c>
      <c r="D16" s="6" t="s">
        <v>114</v>
      </c>
      <c r="E16" s="7">
        <v>0.5</v>
      </c>
      <c r="F16" s="7">
        <v>2</v>
      </c>
      <c r="G16" s="7">
        <v>0.3</v>
      </c>
      <c r="H16" s="7">
        <v>20.7</v>
      </c>
      <c r="I16" s="31">
        <f t="shared" si="1"/>
        <v>18</v>
      </c>
      <c r="J16" s="31">
        <f t="shared" si="2"/>
        <v>32</v>
      </c>
      <c r="K16" s="37">
        <f t="shared" ca="1" si="5"/>
        <v>300</v>
      </c>
      <c r="L16" s="4">
        <f t="shared" si="6"/>
        <v>26.299999999999997</v>
      </c>
      <c r="M16" s="4">
        <f t="shared" ca="1" si="7"/>
        <v>0.8</v>
      </c>
      <c r="N16" s="4">
        <f t="shared" si="8"/>
        <v>0.2</v>
      </c>
      <c r="O16" s="26">
        <f t="shared" si="20"/>
        <v>4.2253166533505979</v>
      </c>
      <c r="P16" s="26">
        <f t="shared" si="21"/>
        <v>2.2954807240164783</v>
      </c>
      <c r="Q16" s="58">
        <f t="shared" si="9"/>
        <v>17</v>
      </c>
      <c r="R16" s="57">
        <f t="shared" si="10"/>
        <v>6</v>
      </c>
      <c r="S16" s="57">
        <f t="shared" si="11"/>
        <v>2</v>
      </c>
      <c r="T16" s="57">
        <v>1</v>
      </c>
      <c r="U16" s="57">
        <v>0</v>
      </c>
      <c r="V16" s="57">
        <v>0</v>
      </c>
      <c r="W16" s="57">
        <v>3</v>
      </c>
      <c r="X16" s="57">
        <f t="shared" si="12"/>
        <v>3</v>
      </c>
      <c r="Y16" s="57">
        <v>8</v>
      </c>
      <c r="Z16" s="57">
        <f t="shared" si="13"/>
        <v>5</v>
      </c>
      <c r="AA16" s="60">
        <f t="shared" si="14"/>
        <v>3</v>
      </c>
      <c r="AB16" s="38">
        <f t="shared" si="18"/>
        <v>4.5</v>
      </c>
      <c r="AC16" s="38">
        <f t="shared" si="19"/>
        <v>0.53846153846153844</v>
      </c>
      <c r="AD16" s="4">
        <f t="shared" ca="1" si="15"/>
        <v>7.5</v>
      </c>
      <c r="AE16" s="38">
        <f t="shared" si="23"/>
        <v>1</v>
      </c>
      <c r="AF16" s="4">
        <f t="shared" ca="1" si="3"/>
        <v>7.6199999999999992</v>
      </c>
      <c r="AG16" s="8">
        <f>1+MATCH($B16,'Lead Tables'!$A:$A,0)</f>
        <v>2</v>
      </c>
      <c r="AH16" s="4" t="str">
        <f>ADDRESS($AG16,1,TRUE,TRUE,"Lead Tables")&amp;":"&amp;ADDRESS($AG16+3,COLUMN('Lead Tables'!$K:$K),TRUE,TRUE)</f>
        <v>'Lead Tables'!$A$2:$K$5</v>
      </c>
      <c r="AI16" s="4" t="str">
        <f>ADDRESS($AG16,1,TRUE,TRUE,"Lead Tables")&amp;":"&amp;ADDRESS($AG16,COLUMN('Lead Tables'!$K:$K),TRUE,TRUE)</f>
        <v>'Lead Tables'!$A$2:$K$2</v>
      </c>
      <c r="AJ16" s="64">
        <v>0.1</v>
      </c>
      <c r="AK16">
        <f t="shared" si="4"/>
        <v>1</v>
      </c>
      <c r="AM16" s="38">
        <f t="shared" si="22"/>
        <v>0</v>
      </c>
      <c r="AP16"/>
    </row>
    <row r="17" spans="1:42">
      <c r="A17" s="2" t="str">
        <f t="shared" si="0"/>
        <v>Hitano R-18.0x36.0</v>
      </c>
      <c r="B17" s="35" t="s">
        <v>49</v>
      </c>
      <c r="C17" s="6" t="s">
        <v>59</v>
      </c>
      <c r="D17" s="6" t="s">
        <v>80</v>
      </c>
      <c r="E17" s="7">
        <v>0.5</v>
      </c>
      <c r="F17" s="7">
        <v>2</v>
      </c>
      <c r="G17" s="7">
        <v>0.3</v>
      </c>
      <c r="H17" s="7">
        <v>20.7</v>
      </c>
      <c r="I17" s="31">
        <f t="shared" si="1"/>
        <v>18</v>
      </c>
      <c r="J17" s="31">
        <f t="shared" si="2"/>
        <v>36</v>
      </c>
      <c r="K17" s="37">
        <f t="shared" ca="1" si="5"/>
        <v>300</v>
      </c>
      <c r="L17" s="4">
        <f t="shared" si="6"/>
        <v>26.299999999999997</v>
      </c>
      <c r="M17" s="4">
        <f t="shared" ca="1" si="7"/>
        <v>0.8</v>
      </c>
      <c r="N17" s="4">
        <f t="shared" si="8"/>
        <v>0.2</v>
      </c>
      <c r="O17" s="26">
        <f t="shared" si="20"/>
        <v>4.2253166533505979</v>
      </c>
      <c r="P17" s="26">
        <f t="shared" si="21"/>
        <v>2.2954807240164783</v>
      </c>
      <c r="Q17" s="58">
        <f t="shared" si="9"/>
        <v>17</v>
      </c>
      <c r="R17" s="57">
        <f t="shared" si="10"/>
        <v>6</v>
      </c>
      <c r="S17" s="57">
        <f t="shared" si="11"/>
        <v>2</v>
      </c>
      <c r="T17" s="57">
        <v>1</v>
      </c>
      <c r="U17" s="57">
        <v>0</v>
      </c>
      <c r="V17" s="57">
        <v>0</v>
      </c>
      <c r="W17" s="57">
        <v>3</v>
      </c>
      <c r="X17" s="57">
        <f t="shared" si="12"/>
        <v>3</v>
      </c>
      <c r="Y17" s="57">
        <v>8</v>
      </c>
      <c r="Z17" s="57">
        <f t="shared" si="13"/>
        <v>5</v>
      </c>
      <c r="AA17" s="60">
        <f t="shared" si="14"/>
        <v>3</v>
      </c>
      <c r="AB17" s="38">
        <f t="shared" si="18"/>
        <v>4.5</v>
      </c>
      <c r="AC17" s="38">
        <f t="shared" si="19"/>
        <v>0.53846153846153844</v>
      </c>
      <c r="AD17" s="4">
        <f t="shared" ca="1" si="15"/>
        <v>7.5</v>
      </c>
      <c r="AE17" s="38">
        <f t="shared" si="23"/>
        <v>1</v>
      </c>
      <c r="AF17" s="4">
        <f t="shared" ca="1" si="3"/>
        <v>7.6199999999999992</v>
      </c>
      <c r="AG17" s="8">
        <f>1+MATCH($B17,'Lead Tables'!$A:$A,0)</f>
        <v>2</v>
      </c>
      <c r="AH17" s="4" t="str">
        <f>ADDRESS($AG17,1,TRUE,TRUE,"Lead Tables")&amp;":"&amp;ADDRESS($AG17+3,COLUMN('Lead Tables'!$K:$K),TRUE,TRUE)</f>
        <v>'Lead Tables'!$A$2:$K$5</v>
      </c>
      <c r="AI17" s="4" t="str">
        <f>ADDRESS($AG17,1,TRUE,TRUE,"Lead Tables")&amp;":"&amp;ADDRESS($AG17,COLUMN('Lead Tables'!$K:$K),TRUE,TRUE)</f>
        <v>'Lead Tables'!$A$2:$K$2</v>
      </c>
      <c r="AJ17" s="64">
        <v>0.1</v>
      </c>
      <c r="AK17">
        <f t="shared" si="4"/>
        <v>1</v>
      </c>
      <c r="AM17" s="38">
        <f t="shared" si="22"/>
        <v>0</v>
      </c>
      <c r="AP17"/>
    </row>
    <row r="18" spans="1:42">
      <c r="A18" s="2" t="str">
        <f t="shared" si="0"/>
        <v>Hitano R-18.0x41.0</v>
      </c>
      <c r="B18" s="35" t="s">
        <v>49</v>
      </c>
      <c r="C18" s="6" t="s">
        <v>59</v>
      </c>
      <c r="D18" s="6" t="s">
        <v>84</v>
      </c>
      <c r="E18" s="7">
        <v>0.5</v>
      </c>
      <c r="F18" s="7">
        <v>2</v>
      </c>
      <c r="G18" s="7">
        <v>0.3</v>
      </c>
      <c r="H18" s="7">
        <v>20.7</v>
      </c>
      <c r="I18" s="31">
        <f t="shared" si="1"/>
        <v>18</v>
      </c>
      <c r="J18" s="31">
        <f t="shared" si="2"/>
        <v>41</v>
      </c>
      <c r="K18" s="37">
        <f t="shared" ca="1" si="5"/>
        <v>300</v>
      </c>
      <c r="L18" s="4">
        <f t="shared" si="6"/>
        <v>26.299999999999997</v>
      </c>
      <c r="M18" s="4">
        <f t="shared" ca="1" si="7"/>
        <v>0.8</v>
      </c>
      <c r="N18" s="4">
        <f t="shared" si="8"/>
        <v>0.2</v>
      </c>
      <c r="O18" s="26">
        <f t="shared" si="20"/>
        <v>4.2253166533505979</v>
      </c>
      <c r="P18" s="26">
        <f t="shared" si="21"/>
        <v>2.2954807240164783</v>
      </c>
      <c r="Q18" s="58">
        <f t="shared" si="9"/>
        <v>17</v>
      </c>
      <c r="R18" s="57">
        <f t="shared" si="10"/>
        <v>6</v>
      </c>
      <c r="S18" s="57">
        <f t="shared" si="11"/>
        <v>2</v>
      </c>
      <c r="T18" s="57">
        <v>1</v>
      </c>
      <c r="U18" s="57">
        <v>0</v>
      </c>
      <c r="V18" s="57">
        <v>0</v>
      </c>
      <c r="W18" s="57">
        <v>3</v>
      </c>
      <c r="X18" s="57">
        <f t="shared" si="12"/>
        <v>3</v>
      </c>
      <c r="Y18" s="57">
        <v>8</v>
      </c>
      <c r="Z18" s="57">
        <f t="shared" si="13"/>
        <v>5</v>
      </c>
      <c r="AA18" s="60">
        <f t="shared" si="14"/>
        <v>3</v>
      </c>
      <c r="AB18" s="38">
        <f t="shared" si="18"/>
        <v>4.5</v>
      </c>
      <c r="AC18" s="38">
        <f t="shared" si="19"/>
        <v>0.53846153846153844</v>
      </c>
      <c r="AD18" s="4">
        <f t="shared" ca="1" si="15"/>
        <v>7.5</v>
      </c>
      <c r="AE18" s="38">
        <f t="shared" si="23"/>
        <v>1</v>
      </c>
      <c r="AF18" s="4">
        <f t="shared" ca="1" si="3"/>
        <v>7.6199999999999992</v>
      </c>
      <c r="AG18" s="8">
        <f>1+MATCH($B18,'Lead Tables'!$A:$A,0)</f>
        <v>2</v>
      </c>
      <c r="AH18" s="4" t="str">
        <f>ADDRESS($AG18,1,TRUE,TRUE,"Lead Tables")&amp;":"&amp;ADDRESS($AG18+3,COLUMN('Lead Tables'!$K:$K),TRUE,TRUE)</f>
        <v>'Lead Tables'!$A$2:$K$5</v>
      </c>
      <c r="AI18" s="4" t="str">
        <f>ADDRESS($AG18,1,TRUE,TRUE,"Lead Tables")&amp;":"&amp;ADDRESS($AG18,COLUMN('Lead Tables'!$K:$K),TRUE,TRUE)</f>
        <v>'Lead Tables'!$A$2:$K$2</v>
      </c>
      <c r="AJ18" s="64">
        <v>0.1</v>
      </c>
      <c r="AK18">
        <f t="shared" si="4"/>
        <v>1</v>
      </c>
      <c r="AM18" s="38">
        <f t="shared" si="22"/>
        <v>0</v>
      </c>
      <c r="AP18"/>
    </row>
    <row r="19" spans="1:42">
      <c r="A19" s="2" t="str">
        <f t="shared" si="0"/>
        <v>Hitano R-22.0x30.0</v>
      </c>
      <c r="B19" s="35" t="s">
        <v>49</v>
      </c>
      <c r="C19" s="6" t="s">
        <v>59</v>
      </c>
      <c r="D19" s="6" t="s">
        <v>102</v>
      </c>
      <c r="E19" s="7">
        <v>0.5</v>
      </c>
      <c r="F19" s="7">
        <v>2</v>
      </c>
      <c r="G19" s="7">
        <v>0.3</v>
      </c>
      <c r="H19" s="7">
        <v>20.7</v>
      </c>
      <c r="I19" s="31">
        <f t="shared" ref="I19:I32" si="24">VALUE(LEFT($D19,SEARCH("x",$D19)-1))</f>
        <v>22</v>
      </c>
      <c r="J19" s="31">
        <f t="shared" ref="J19:J32" si="25">VALUE(RIGHT($D19,LEN($D19)-SEARCH("x",$D19)))</f>
        <v>30</v>
      </c>
      <c r="K19" s="37">
        <f t="shared" ref="K19:K32" ca="1" si="26">1000*ROUNDUP($AD19/25.4,2)</f>
        <v>400</v>
      </c>
      <c r="L19" s="4">
        <f t="shared" ref="L19:L32" si="27">H19+5.6</f>
        <v>26.299999999999997</v>
      </c>
      <c r="M19" s="4">
        <f t="shared" ca="1" si="7"/>
        <v>1</v>
      </c>
      <c r="N19" s="4">
        <f t="shared" ref="N19:N32" si="28">IF($I19&lt;8,0.12,IF($I19&lt;10,0.15,0.2))</f>
        <v>0.2</v>
      </c>
      <c r="O19" s="26">
        <f t="shared" ref="O19:O32" si="29">4.925363+(2.443075-4.925363)/(1+($I19/16.01491)^7.997158)</f>
        <v>4.7437830116656556</v>
      </c>
      <c r="P19" s="26">
        <f t="shared" ref="P19:P32" si="30">10.44333+(1.945487-10.44333)/(1+($I19/34.36317)^4.867813)</f>
        <v>2.8157217264567249</v>
      </c>
      <c r="Q19" s="58">
        <f t="shared" si="9"/>
        <v>17</v>
      </c>
      <c r="R19" s="57">
        <f t="shared" si="10"/>
        <v>6</v>
      </c>
      <c r="S19" s="57">
        <f t="shared" si="11"/>
        <v>2</v>
      </c>
      <c r="T19" s="57">
        <v>1</v>
      </c>
      <c r="U19" s="57">
        <v>0</v>
      </c>
      <c r="V19" s="57">
        <v>0</v>
      </c>
      <c r="W19" s="57">
        <v>3</v>
      </c>
      <c r="X19" s="57">
        <f t="shared" si="12"/>
        <v>3</v>
      </c>
      <c r="Y19" s="57">
        <v>8</v>
      </c>
      <c r="Z19" s="57">
        <f t="shared" si="13"/>
        <v>5</v>
      </c>
      <c r="AA19" s="60">
        <f t="shared" si="14"/>
        <v>3</v>
      </c>
      <c r="AB19" s="38">
        <f t="shared" ref="AB19:AB22" si="31">AA19*1.261</f>
        <v>3.7829999999999995</v>
      </c>
      <c r="AC19" s="38">
        <f t="shared" si="19"/>
        <v>0.53846153846153844</v>
      </c>
      <c r="AD19" s="4">
        <f t="shared" ca="1" si="15"/>
        <v>10</v>
      </c>
      <c r="AE19" s="38">
        <f t="shared" si="23"/>
        <v>1</v>
      </c>
      <c r="AF19" s="4">
        <f t="shared" ref="AF19:AF32" ca="1" si="32">K19/1000 * 25.4</f>
        <v>10.16</v>
      </c>
      <c r="AG19" s="8">
        <f>1+MATCH($B19,'Lead Tables'!$A:$A,0)</f>
        <v>2</v>
      </c>
      <c r="AH19" s="4" t="str">
        <f>ADDRESS($AG19,1,TRUE,TRUE,"Lead Tables")&amp;":"&amp;ADDRESS($AG19+3,COLUMN('Lead Tables'!$K:$K),TRUE,TRUE)</f>
        <v>'Lead Tables'!$A$2:$K$5</v>
      </c>
      <c r="AI19" s="4" t="str">
        <f>ADDRESS($AG19,1,TRUE,TRUE,"Lead Tables")&amp;":"&amp;ADDRESS($AG19,COLUMN('Lead Tables'!$K:$K),TRUE,TRUE)</f>
        <v>'Lead Tables'!$A$2:$K$2</v>
      </c>
      <c r="AJ19" s="64">
        <v>0.1</v>
      </c>
      <c r="AK19">
        <f t="shared" si="4"/>
        <v>1</v>
      </c>
      <c r="AP19"/>
    </row>
    <row r="20" spans="1:42">
      <c r="A20" s="2" t="str">
        <f t="shared" si="0"/>
        <v>Hitano R-22.0x36.0</v>
      </c>
      <c r="B20" s="35" t="s">
        <v>49</v>
      </c>
      <c r="C20" s="6" t="s">
        <v>59</v>
      </c>
      <c r="D20" s="6" t="s">
        <v>85</v>
      </c>
      <c r="E20" s="7">
        <v>0.5</v>
      </c>
      <c r="F20" s="7">
        <v>2</v>
      </c>
      <c r="G20" s="7">
        <v>0.3</v>
      </c>
      <c r="H20" s="7">
        <v>20.7</v>
      </c>
      <c r="I20" s="31">
        <f t="shared" si="24"/>
        <v>22</v>
      </c>
      <c r="J20" s="31">
        <f t="shared" si="25"/>
        <v>36</v>
      </c>
      <c r="K20" s="37">
        <f t="shared" ca="1" si="26"/>
        <v>400</v>
      </c>
      <c r="L20" s="4">
        <f t="shared" si="27"/>
        <v>26.299999999999997</v>
      </c>
      <c r="M20" s="4">
        <f t="shared" ca="1" si="7"/>
        <v>1</v>
      </c>
      <c r="N20" s="4">
        <f t="shared" si="28"/>
        <v>0.2</v>
      </c>
      <c r="O20" s="26">
        <f t="shared" si="29"/>
        <v>4.7437830116656556</v>
      </c>
      <c r="P20" s="26">
        <f t="shared" si="30"/>
        <v>2.8157217264567249</v>
      </c>
      <c r="Q20" s="58">
        <f t="shared" si="9"/>
        <v>17</v>
      </c>
      <c r="R20" s="57">
        <f t="shared" si="10"/>
        <v>6</v>
      </c>
      <c r="S20" s="57">
        <f t="shared" si="11"/>
        <v>2</v>
      </c>
      <c r="T20" s="57">
        <v>1</v>
      </c>
      <c r="U20" s="57">
        <v>0</v>
      </c>
      <c r="V20" s="57">
        <v>0</v>
      </c>
      <c r="W20" s="57">
        <v>3</v>
      </c>
      <c r="X20" s="57">
        <f t="shared" si="12"/>
        <v>3</v>
      </c>
      <c r="Y20" s="57">
        <v>8</v>
      </c>
      <c r="Z20" s="57">
        <f t="shared" si="13"/>
        <v>5</v>
      </c>
      <c r="AA20" s="60">
        <f t="shared" si="14"/>
        <v>3</v>
      </c>
      <c r="AB20" s="38">
        <f t="shared" si="31"/>
        <v>3.7829999999999995</v>
      </c>
      <c r="AC20" s="38">
        <f>IF(AA20/1.949&gt;0.7,0.7,AA20/1.949)/1.3</f>
        <v>0.53846153846153844</v>
      </c>
      <c r="AD20" s="4">
        <f t="shared" ca="1" si="15"/>
        <v>10</v>
      </c>
      <c r="AE20" s="38">
        <f t="shared" si="23"/>
        <v>1</v>
      </c>
      <c r="AF20" s="4">
        <f t="shared" ca="1" si="32"/>
        <v>10.16</v>
      </c>
      <c r="AG20" s="8">
        <f>1+MATCH($B20,'Lead Tables'!$A:$A,0)</f>
        <v>2</v>
      </c>
      <c r="AH20" s="4" t="str">
        <f>ADDRESS($AG20,1,TRUE,TRUE,"Lead Tables")&amp;":"&amp;ADDRESS($AG20+3,COLUMN('Lead Tables'!$K:$K),TRUE,TRUE)</f>
        <v>'Lead Tables'!$A$2:$K$5</v>
      </c>
      <c r="AI20" s="4" t="str">
        <f>ADDRESS($AG20,1,TRUE,TRUE,"Lead Tables")&amp;":"&amp;ADDRESS($AG20,COLUMN('Lead Tables'!$K:$K),TRUE,TRUE)</f>
        <v>'Lead Tables'!$A$2:$K$2</v>
      </c>
      <c r="AJ20" s="64">
        <v>0.1</v>
      </c>
      <c r="AK20">
        <f t="shared" si="4"/>
        <v>1</v>
      </c>
      <c r="AP20"/>
    </row>
    <row r="21" spans="1:42">
      <c r="A21" s="2" t="str">
        <f t="shared" si="0"/>
        <v>Hitano R-22.0x41.0</v>
      </c>
      <c r="B21" s="35" t="s">
        <v>49</v>
      </c>
      <c r="C21" s="6" t="s">
        <v>59</v>
      </c>
      <c r="D21" s="6" t="s">
        <v>82</v>
      </c>
      <c r="E21" s="7">
        <v>0.5</v>
      </c>
      <c r="F21" s="7">
        <v>2</v>
      </c>
      <c r="G21" s="7">
        <v>0.3</v>
      </c>
      <c r="H21" s="7">
        <v>20.7</v>
      </c>
      <c r="I21" s="31">
        <f t="shared" si="24"/>
        <v>22</v>
      </c>
      <c r="J21" s="31">
        <f t="shared" si="25"/>
        <v>41</v>
      </c>
      <c r="K21" s="37">
        <f t="shared" ca="1" si="26"/>
        <v>400</v>
      </c>
      <c r="L21" s="4">
        <f t="shared" si="27"/>
        <v>26.299999999999997</v>
      </c>
      <c r="M21" s="4">
        <f t="shared" ca="1" si="7"/>
        <v>1</v>
      </c>
      <c r="N21" s="4">
        <f t="shared" si="28"/>
        <v>0.2</v>
      </c>
      <c r="O21" s="26">
        <f t="shared" si="29"/>
        <v>4.7437830116656556</v>
      </c>
      <c r="P21" s="26">
        <f t="shared" si="30"/>
        <v>2.8157217264567249</v>
      </c>
      <c r="Q21" s="58">
        <f t="shared" si="9"/>
        <v>17</v>
      </c>
      <c r="R21" s="57">
        <f t="shared" si="10"/>
        <v>6</v>
      </c>
      <c r="S21" s="57">
        <f t="shared" si="11"/>
        <v>2</v>
      </c>
      <c r="T21" s="57">
        <v>1</v>
      </c>
      <c r="U21" s="57">
        <v>0</v>
      </c>
      <c r="V21" s="57">
        <v>0</v>
      </c>
      <c r="W21" s="57">
        <v>3</v>
      </c>
      <c r="X21" s="57">
        <f t="shared" si="12"/>
        <v>3</v>
      </c>
      <c r="Y21" s="57">
        <v>8</v>
      </c>
      <c r="Z21" s="57">
        <f t="shared" si="13"/>
        <v>5</v>
      </c>
      <c r="AA21" s="60">
        <f t="shared" si="14"/>
        <v>3</v>
      </c>
      <c r="AB21" s="38">
        <f t="shared" si="31"/>
        <v>3.7829999999999995</v>
      </c>
      <c r="AC21" s="38">
        <f t="shared" si="19"/>
        <v>0.53846153846153844</v>
      </c>
      <c r="AD21" s="4">
        <f t="shared" ca="1" si="15"/>
        <v>10</v>
      </c>
      <c r="AE21" s="38">
        <f t="shared" si="23"/>
        <v>1</v>
      </c>
      <c r="AF21" s="4">
        <f t="shared" ca="1" si="32"/>
        <v>10.16</v>
      </c>
      <c r="AG21" s="8">
        <f>1+MATCH($B21,'Lead Tables'!$A:$A,0)</f>
        <v>2</v>
      </c>
      <c r="AH21" s="4" t="str">
        <f>ADDRESS($AG21,1,TRUE,TRUE,"Lead Tables")&amp;":"&amp;ADDRESS($AG21+3,COLUMN('Lead Tables'!$K:$K),TRUE,TRUE)</f>
        <v>'Lead Tables'!$A$2:$K$5</v>
      </c>
      <c r="AI21" s="4" t="str">
        <f>ADDRESS($AG21,1,TRUE,TRUE,"Lead Tables")&amp;":"&amp;ADDRESS($AG21,COLUMN('Lead Tables'!$K:$K),TRUE,TRUE)</f>
        <v>'Lead Tables'!$A$2:$K$2</v>
      </c>
      <c r="AJ21" s="64">
        <v>0.1</v>
      </c>
      <c r="AK21">
        <f t="shared" si="4"/>
        <v>1</v>
      </c>
      <c r="AP21"/>
    </row>
    <row r="22" spans="1:42">
      <c r="A22" s="2" t="str">
        <f t="shared" si="0"/>
        <v>Hitano R-25.0x41.0</v>
      </c>
      <c r="B22" s="35" t="s">
        <v>49</v>
      </c>
      <c r="C22" s="6" t="s">
        <v>59</v>
      </c>
      <c r="D22" s="6" t="s">
        <v>83</v>
      </c>
      <c r="E22" s="7">
        <v>0.5</v>
      </c>
      <c r="F22" s="7">
        <v>2</v>
      </c>
      <c r="G22" s="7">
        <v>0.3</v>
      </c>
      <c r="H22" s="7">
        <v>20.7</v>
      </c>
      <c r="I22" s="31">
        <f t="shared" si="24"/>
        <v>25</v>
      </c>
      <c r="J22" s="31">
        <f t="shared" si="25"/>
        <v>41</v>
      </c>
      <c r="K22" s="37">
        <f t="shared" ca="1" si="26"/>
        <v>500</v>
      </c>
      <c r="L22" s="4">
        <f t="shared" si="27"/>
        <v>26.299999999999997</v>
      </c>
      <c r="M22" s="4">
        <f t="shared" ca="1" si="7"/>
        <v>1</v>
      </c>
      <c r="N22" s="4">
        <f t="shared" si="28"/>
        <v>0.2</v>
      </c>
      <c r="O22" s="26">
        <f t="shared" si="29"/>
        <v>4.8568270722402875</v>
      </c>
      <c r="P22" s="26">
        <f t="shared" si="30"/>
        <v>3.4351873846376169</v>
      </c>
      <c r="Q22" s="58">
        <f t="shared" si="9"/>
        <v>17</v>
      </c>
      <c r="R22" s="57">
        <f t="shared" si="10"/>
        <v>6</v>
      </c>
      <c r="S22" s="57">
        <f t="shared" si="11"/>
        <v>2</v>
      </c>
      <c r="T22" s="57">
        <v>1</v>
      </c>
      <c r="U22" s="57">
        <v>0</v>
      </c>
      <c r="V22" s="57">
        <v>0</v>
      </c>
      <c r="W22" s="57">
        <v>3</v>
      </c>
      <c r="X22" s="57">
        <f t="shared" si="12"/>
        <v>3</v>
      </c>
      <c r="Y22" s="57">
        <v>8</v>
      </c>
      <c r="Z22" s="57">
        <f t="shared" si="13"/>
        <v>5</v>
      </c>
      <c r="AA22" s="60">
        <f t="shared" si="14"/>
        <v>3</v>
      </c>
      <c r="AB22" s="38">
        <f t="shared" si="31"/>
        <v>3.7829999999999995</v>
      </c>
      <c r="AC22" s="38">
        <f t="shared" si="19"/>
        <v>0.53846153846153844</v>
      </c>
      <c r="AD22" s="4">
        <f t="shared" ca="1" si="15"/>
        <v>12.5</v>
      </c>
      <c r="AE22" s="38">
        <f t="shared" si="23"/>
        <v>1</v>
      </c>
      <c r="AF22" s="4">
        <f t="shared" ca="1" si="32"/>
        <v>12.7</v>
      </c>
      <c r="AG22" s="8">
        <f>1+MATCH($B22,'Lead Tables'!$A:$A,0)</f>
        <v>2</v>
      </c>
      <c r="AH22" s="4" t="str">
        <f>ADDRESS($AG22,1,TRUE,TRUE,"Lead Tables")&amp;":"&amp;ADDRESS($AG22+3,COLUMN('Lead Tables'!$K:$K),TRUE,TRUE)</f>
        <v>'Lead Tables'!$A$2:$K$5</v>
      </c>
      <c r="AI22" s="4" t="str">
        <f>ADDRESS($AG22,1,TRUE,TRUE,"Lead Tables")&amp;":"&amp;ADDRESS($AG22,COLUMN('Lead Tables'!$K:$K),TRUE,TRUE)</f>
        <v>'Lead Tables'!$A$2:$K$2</v>
      </c>
      <c r="AJ22" s="64">
        <v>0.1</v>
      </c>
      <c r="AK22">
        <f t="shared" si="4"/>
        <v>1</v>
      </c>
      <c r="AP22"/>
    </row>
    <row r="23" spans="1:42">
      <c r="A23" s="2" t="str">
        <f t="shared" si="0"/>
        <v>Hitano R-25.0x50.0</v>
      </c>
      <c r="B23" s="35" t="s">
        <v>49</v>
      </c>
      <c r="C23" s="6" t="s">
        <v>59</v>
      </c>
      <c r="D23" s="6" t="s">
        <v>86</v>
      </c>
      <c r="E23" s="7">
        <v>0.5</v>
      </c>
      <c r="F23" s="7">
        <v>2</v>
      </c>
      <c r="G23" s="7">
        <v>0.3</v>
      </c>
      <c r="H23" s="7">
        <v>20.7</v>
      </c>
      <c r="I23" s="31">
        <f t="shared" si="24"/>
        <v>25</v>
      </c>
      <c r="J23" s="31">
        <f t="shared" si="25"/>
        <v>50</v>
      </c>
      <c r="K23" s="37">
        <f t="shared" ca="1" si="26"/>
        <v>500</v>
      </c>
      <c r="L23" s="4">
        <f t="shared" si="27"/>
        <v>26.299999999999997</v>
      </c>
      <c r="M23" s="4">
        <f t="shared" ca="1" si="7"/>
        <v>1</v>
      </c>
      <c r="N23" s="4">
        <f t="shared" si="28"/>
        <v>0.2</v>
      </c>
      <c r="O23" s="26">
        <f t="shared" si="29"/>
        <v>4.8568270722402875</v>
      </c>
      <c r="P23" s="26">
        <f t="shared" si="30"/>
        <v>3.4351873846376169</v>
      </c>
      <c r="Q23" s="58">
        <f t="shared" si="9"/>
        <v>17</v>
      </c>
      <c r="R23" s="57">
        <f t="shared" si="10"/>
        <v>6</v>
      </c>
      <c r="S23" s="57">
        <f t="shared" si="11"/>
        <v>2</v>
      </c>
      <c r="T23" s="57">
        <v>1</v>
      </c>
      <c r="U23" s="57">
        <v>0</v>
      </c>
      <c r="V23" s="57">
        <v>0</v>
      </c>
      <c r="W23" s="57">
        <v>3</v>
      </c>
      <c r="X23" s="57">
        <f t="shared" si="12"/>
        <v>3</v>
      </c>
      <c r="Y23" s="57">
        <v>8</v>
      </c>
      <c r="Z23" s="57">
        <f t="shared" si="13"/>
        <v>5</v>
      </c>
      <c r="AA23" s="60">
        <f t="shared" si="14"/>
        <v>3</v>
      </c>
      <c r="AB23" s="38">
        <f>AA23*1.261</f>
        <v>3.7829999999999995</v>
      </c>
      <c r="AC23" s="38">
        <f t="shared" si="19"/>
        <v>0.53846153846153844</v>
      </c>
      <c r="AD23" s="4">
        <f t="shared" ca="1" si="15"/>
        <v>12.5</v>
      </c>
      <c r="AE23" s="38">
        <f t="shared" si="23"/>
        <v>1</v>
      </c>
      <c r="AF23" s="4">
        <f t="shared" ca="1" si="32"/>
        <v>12.7</v>
      </c>
      <c r="AG23" s="8">
        <f>1+MATCH($B23,'Lead Tables'!$A:$A,0)</f>
        <v>2</v>
      </c>
      <c r="AH23" s="4" t="str">
        <f>ADDRESS($AG23,1,TRUE,TRUE,"Lead Tables")&amp;":"&amp;ADDRESS($AG23+3,COLUMN('Lead Tables'!$K:$K),TRUE,TRUE)</f>
        <v>'Lead Tables'!$A$2:$K$5</v>
      </c>
      <c r="AI23" s="4" t="str">
        <f>ADDRESS($AG23,1,TRUE,TRUE,"Lead Tables")&amp;":"&amp;ADDRESS($AG23,COLUMN('Lead Tables'!$K:$K),TRUE,TRUE)</f>
        <v>'Lead Tables'!$A$2:$K$2</v>
      </c>
      <c r="AJ23" s="64">
        <v>0.1</v>
      </c>
      <c r="AK23">
        <f t="shared" si="4"/>
        <v>1</v>
      </c>
      <c r="AP23"/>
    </row>
    <row r="24" spans="1:42">
      <c r="A24" s="2" t="str">
        <f t="shared" si="0"/>
        <v>Jamicon R-05.0x11.0</v>
      </c>
      <c r="B24" s="35" t="s">
        <v>47</v>
      </c>
      <c r="C24" s="6" t="s">
        <v>59</v>
      </c>
      <c r="D24" s="6" t="s">
        <v>68</v>
      </c>
      <c r="E24" s="7">
        <v>0.5</v>
      </c>
      <c r="F24" s="7">
        <v>2</v>
      </c>
      <c r="G24" s="7">
        <v>0.3</v>
      </c>
      <c r="H24" s="7">
        <v>20.7</v>
      </c>
      <c r="I24" s="31">
        <f t="shared" si="24"/>
        <v>5</v>
      </c>
      <c r="J24" s="31">
        <f t="shared" si="25"/>
        <v>11</v>
      </c>
      <c r="K24" s="37">
        <f t="shared" ca="1" si="26"/>
        <v>80</v>
      </c>
      <c r="L24" s="4">
        <f t="shared" si="27"/>
        <v>26.299999999999997</v>
      </c>
      <c r="M24" s="4">
        <f t="shared" ca="1" si="7"/>
        <v>0.5</v>
      </c>
      <c r="N24" s="4">
        <f t="shared" si="28"/>
        <v>0.12</v>
      </c>
      <c r="O24" s="26">
        <v>2</v>
      </c>
      <c r="P24" s="26">
        <v>1.5</v>
      </c>
      <c r="Q24" s="58">
        <f t="shared" si="9"/>
        <v>17</v>
      </c>
      <c r="R24" s="57">
        <f t="shared" si="10"/>
        <v>6</v>
      </c>
      <c r="S24" s="57">
        <f t="shared" si="11"/>
        <v>2</v>
      </c>
      <c r="T24" s="57">
        <v>1</v>
      </c>
      <c r="U24" s="57">
        <v>0</v>
      </c>
      <c r="V24" s="57">
        <v>0</v>
      </c>
      <c r="W24" s="57">
        <v>3</v>
      </c>
      <c r="X24" s="57">
        <f t="shared" si="12"/>
        <v>3</v>
      </c>
      <c r="Y24" s="57">
        <v>8</v>
      </c>
      <c r="Z24" s="57">
        <f t="shared" si="13"/>
        <v>4</v>
      </c>
      <c r="AA24" s="60">
        <f t="shared" si="14"/>
        <v>1.2</v>
      </c>
      <c r="AB24" s="38">
        <f>AA24/1.727</f>
        <v>0.69484655471916612</v>
      </c>
      <c r="AC24" s="38">
        <f t="shared" si="19"/>
        <v>0.47361566089118678</v>
      </c>
      <c r="AD24" s="4">
        <f t="shared" ca="1" si="15"/>
        <v>2</v>
      </c>
      <c r="AE24" s="38">
        <f t="shared" si="23"/>
        <v>0.39999999999999997</v>
      </c>
      <c r="AF24" s="4">
        <f t="shared" ca="1" si="32"/>
        <v>2.032</v>
      </c>
      <c r="AG24" s="8">
        <f>1+MATCH($B24,'Lead Tables'!$A:$A,0)</f>
        <v>8</v>
      </c>
      <c r="AH24" s="4" t="str">
        <f>ADDRESS($AG24,1,TRUE,TRUE,"Lead Tables")&amp;":"&amp;ADDRESS($AG24+3,COLUMN('Lead Tables'!$K:$K),TRUE,TRUE)</f>
        <v>'Lead Tables'!$A$8:$K$11</v>
      </c>
      <c r="AI24" s="4" t="str">
        <f>ADDRESS($AG24,1,TRUE,TRUE,"Lead Tables")&amp;":"&amp;ADDRESS($AG24,COLUMN('Lead Tables'!$K:$K),TRUE,TRUE)</f>
        <v>'Lead Tables'!$A$8:$K$8</v>
      </c>
      <c r="AJ24" s="64">
        <v>0.1</v>
      </c>
      <c r="AK24">
        <f t="shared" si="4"/>
        <v>1</v>
      </c>
      <c r="AP24"/>
    </row>
    <row r="25" spans="1:42">
      <c r="A25" s="2" t="str">
        <f t="shared" si="0"/>
        <v>Jamicon R-05.0x15.0</v>
      </c>
      <c r="B25" s="35" t="s">
        <v>47</v>
      </c>
      <c r="C25" s="6" t="s">
        <v>59</v>
      </c>
      <c r="D25" s="6" t="s">
        <v>118</v>
      </c>
      <c r="E25" s="7">
        <v>0.5</v>
      </c>
      <c r="F25" s="7">
        <v>2</v>
      </c>
      <c r="G25" s="7">
        <v>0.3</v>
      </c>
      <c r="H25" s="7">
        <v>20.7</v>
      </c>
      <c r="I25" s="31">
        <f t="shared" si="24"/>
        <v>5</v>
      </c>
      <c r="J25" s="31">
        <f t="shared" si="25"/>
        <v>15</v>
      </c>
      <c r="K25" s="37">
        <f t="shared" ca="1" si="26"/>
        <v>80</v>
      </c>
      <c r="L25" s="4">
        <f t="shared" si="27"/>
        <v>26.299999999999997</v>
      </c>
      <c r="M25" s="4">
        <f t="shared" ca="1" si="7"/>
        <v>0.5</v>
      </c>
      <c r="N25" s="4">
        <f t="shared" si="28"/>
        <v>0.12</v>
      </c>
      <c r="O25" s="26">
        <f t="shared" si="29"/>
        <v>2.4432998089698885</v>
      </c>
      <c r="P25" s="26">
        <f t="shared" si="30"/>
        <v>1.9462020112663154</v>
      </c>
      <c r="Q25" s="58">
        <f t="shared" si="9"/>
        <v>17</v>
      </c>
      <c r="R25" s="57">
        <f t="shared" si="10"/>
        <v>6</v>
      </c>
      <c r="S25" s="57">
        <f t="shared" si="11"/>
        <v>2</v>
      </c>
      <c r="T25" s="57">
        <v>1</v>
      </c>
      <c r="U25" s="57">
        <v>0</v>
      </c>
      <c r="V25" s="57">
        <v>0</v>
      </c>
      <c r="W25" s="57">
        <v>3</v>
      </c>
      <c r="X25" s="57">
        <f t="shared" si="12"/>
        <v>3</v>
      </c>
      <c r="Y25" s="57">
        <v>8</v>
      </c>
      <c r="Z25" s="57">
        <f t="shared" si="13"/>
        <v>4</v>
      </c>
      <c r="AA25" s="60">
        <f t="shared" si="14"/>
        <v>1.2</v>
      </c>
      <c r="AB25" s="38">
        <f t="shared" ref="AB25:AB62" si="33">AA25/1.727</f>
        <v>0.69484655471916612</v>
      </c>
      <c r="AC25" s="38">
        <f t="shared" si="19"/>
        <v>0.47361566089118678</v>
      </c>
      <c r="AD25" s="4">
        <f t="shared" ca="1" si="15"/>
        <v>2</v>
      </c>
      <c r="AE25" s="38">
        <f t="shared" si="23"/>
        <v>0.39999999999999997</v>
      </c>
      <c r="AF25" s="4">
        <f t="shared" ca="1" si="32"/>
        <v>2.032</v>
      </c>
      <c r="AG25" s="8">
        <f>1+MATCH($B25,'Lead Tables'!$A:$A,0)</f>
        <v>8</v>
      </c>
      <c r="AH25" s="4" t="str">
        <f>ADDRESS($AG25,1,TRUE,TRUE,"Lead Tables")&amp;":"&amp;ADDRESS($AG25+3,COLUMN('Lead Tables'!$K:$K),TRUE,TRUE)</f>
        <v>'Lead Tables'!$A$8:$K$11</v>
      </c>
      <c r="AI25" s="4" t="str">
        <f>ADDRESS($AG25,1,TRUE,TRUE,"Lead Tables")&amp;":"&amp;ADDRESS($AG25,COLUMN('Lead Tables'!$K:$K),TRUE,TRUE)</f>
        <v>'Lead Tables'!$A$8:$K$8</v>
      </c>
      <c r="AJ25" s="64">
        <v>0.1</v>
      </c>
      <c r="AK25">
        <f t="shared" si="4"/>
        <v>1</v>
      </c>
      <c r="AP25"/>
    </row>
    <row r="26" spans="1:42">
      <c r="A26" s="2" t="str">
        <f t="shared" si="0"/>
        <v>Jamicon R-06.0x11.0</v>
      </c>
      <c r="B26" s="35" t="s">
        <v>47</v>
      </c>
      <c r="C26" s="6" t="s">
        <v>59</v>
      </c>
      <c r="D26" s="6" t="s">
        <v>69</v>
      </c>
      <c r="E26" s="7">
        <v>0.5</v>
      </c>
      <c r="F26" s="7">
        <v>2</v>
      </c>
      <c r="G26" s="7">
        <v>0.3</v>
      </c>
      <c r="H26" s="7">
        <v>20.7</v>
      </c>
      <c r="I26" s="31">
        <f t="shared" si="24"/>
        <v>6.3</v>
      </c>
      <c r="J26" s="31">
        <f t="shared" si="25"/>
        <v>11</v>
      </c>
      <c r="K26" s="37">
        <f t="shared" ca="1" si="26"/>
        <v>99.999999999999986</v>
      </c>
      <c r="L26" s="4">
        <f t="shared" si="27"/>
        <v>26.299999999999997</v>
      </c>
      <c r="M26" s="4">
        <f t="shared" ca="1" si="7"/>
        <v>0.5</v>
      </c>
      <c r="N26" s="4">
        <f t="shared" si="28"/>
        <v>0.12</v>
      </c>
      <c r="O26" s="26">
        <v>2</v>
      </c>
      <c r="P26" s="26">
        <v>1.5</v>
      </c>
      <c r="Q26" s="58">
        <f t="shared" si="9"/>
        <v>17</v>
      </c>
      <c r="R26" s="57">
        <f t="shared" si="10"/>
        <v>6</v>
      </c>
      <c r="S26" s="57">
        <f t="shared" si="11"/>
        <v>2</v>
      </c>
      <c r="T26" s="57">
        <v>1</v>
      </c>
      <c r="U26" s="57">
        <v>0</v>
      </c>
      <c r="V26" s="57">
        <v>0</v>
      </c>
      <c r="W26" s="57">
        <v>3</v>
      </c>
      <c r="X26" s="57">
        <f t="shared" si="12"/>
        <v>3</v>
      </c>
      <c r="Y26" s="57">
        <v>8</v>
      </c>
      <c r="Z26" s="57">
        <f t="shared" si="13"/>
        <v>4</v>
      </c>
      <c r="AA26" s="60">
        <f t="shared" si="14"/>
        <v>1.2</v>
      </c>
      <c r="AB26" s="38">
        <f t="shared" si="33"/>
        <v>0.69484655471916612</v>
      </c>
      <c r="AC26" s="38">
        <f t="shared" si="19"/>
        <v>0.47361566089118678</v>
      </c>
      <c r="AD26" s="4">
        <f t="shared" ca="1" si="15"/>
        <v>2.5</v>
      </c>
      <c r="AE26" s="38">
        <f t="shared" si="23"/>
        <v>0.39999999999999997</v>
      </c>
      <c r="AF26" s="4">
        <f t="shared" ca="1" si="32"/>
        <v>2.5399999999999996</v>
      </c>
      <c r="AG26" s="8">
        <f>1+MATCH($B26,'Lead Tables'!$A:$A,0)</f>
        <v>8</v>
      </c>
      <c r="AH26" s="4" t="str">
        <f>ADDRESS($AG26,1,TRUE,TRUE,"Lead Tables")&amp;":"&amp;ADDRESS($AG26+3,COLUMN('Lead Tables'!$K:$K),TRUE,TRUE)</f>
        <v>'Lead Tables'!$A$8:$K$11</v>
      </c>
      <c r="AI26" s="4" t="str">
        <f>ADDRESS($AG26,1,TRUE,TRUE,"Lead Tables")&amp;":"&amp;ADDRESS($AG26,COLUMN('Lead Tables'!$K:$K),TRUE,TRUE)</f>
        <v>'Lead Tables'!$A$8:$K$8</v>
      </c>
      <c r="AJ26" s="64">
        <v>0.1</v>
      </c>
      <c r="AK26">
        <f t="shared" si="4"/>
        <v>1</v>
      </c>
      <c r="AP26"/>
    </row>
    <row r="27" spans="1:42">
      <c r="A27" s="2" t="str">
        <f t="shared" si="0"/>
        <v>Jamicon R-06.0x15.0</v>
      </c>
      <c r="B27" s="35" t="s">
        <v>47</v>
      </c>
      <c r="C27" s="6" t="s">
        <v>59</v>
      </c>
      <c r="D27" s="6" t="s">
        <v>119</v>
      </c>
      <c r="E27" s="7">
        <v>0.5</v>
      </c>
      <c r="F27" s="7">
        <v>2</v>
      </c>
      <c r="G27" s="7">
        <v>0.3</v>
      </c>
      <c r="H27" s="7">
        <v>20.7</v>
      </c>
      <c r="I27" s="31">
        <f t="shared" si="24"/>
        <v>6.3</v>
      </c>
      <c r="J27" s="31">
        <f t="shared" si="25"/>
        <v>15</v>
      </c>
      <c r="K27" s="37">
        <f t="shared" ca="1" si="26"/>
        <v>99.999999999999986</v>
      </c>
      <c r="L27" s="4">
        <f t="shared" si="27"/>
        <v>26.299999999999997</v>
      </c>
      <c r="M27" s="4">
        <f t="shared" ca="1" si="7"/>
        <v>0.5</v>
      </c>
      <c r="N27" s="4">
        <f t="shared" si="28"/>
        <v>0.12</v>
      </c>
      <c r="O27" s="26">
        <f t="shared" si="29"/>
        <v>2.4445015349711001</v>
      </c>
      <c r="P27" s="26">
        <f t="shared" si="30"/>
        <v>1.9476890233525275</v>
      </c>
      <c r="Q27" s="58">
        <f t="shared" si="9"/>
        <v>17</v>
      </c>
      <c r="R27" s="57">
        <f t="shared" si="10"/>
        <v>6</v>
      </c>
      <c r="S27" s="57">
        <f t="shared" si="11"/>
        <v>2</v>
      </c>
      <c r="T27" s="57">
        <v>1</v>
      </c>
      <c r="U27" s="57">
        <v>0</v>
      </c>
      <c r="V27" s="57">
        <v>0</v>
      </c>
      <c r="W27" s="57">
        <v>3</v>
      </c>
      <c r="X27" s="57">
        <f t="shared" si="12"/>
        <v>3</v>
      </c>
      <c r="Y27" s="57">
        <v>8</v>
      </c>
      <c r="Z27" s="57">
        <f t="shared" si="13"/>
        <v>4</v>
      </c>
      <c r="AA27" s="60">
        <f t="shared" si="14"/>
        <v>1.2</v>
      </c>
      <c r="AB27" s="38">
        <f t="shared" si="33"/>
        <v>0.69484655471916612</v>
      </c>
      <c r="AC27" s="38">
        <f t="shared" si="19"/>
        <v>0.47361566089118678</v>
      </c>
      <c r="AD27" s="4">
        <f t="shared" ca="1" si="15"/>
        <v>2.5</v>
      </c>
      <c r="AE27" s="38">
        <f t="shared" si="23"/>
        <v>0.39999999999999997</v>
      </c>
      <c r="AF27" s="4">
        <f t="shared" ca="1" si="32"/>
        <v>2.5399999999999996</v>
      </c>
      <c r="AG27" s="8">
        <f>1+MATCH($B27,'Lead Tables'!$A:$A,0)</f>
        <v>8</v>
      </c>
      <c r="AH27" s="4" t="str">
        <f>ADDRESS($AG27,1,TRUE,TRUE,"Lead Tables")&amp;":"&amp;ADDRESS($AG27+3,COLUMN('Lead Tables'!$K:$K),TRUE,TRUE)</f>
        <v>'Lead Tables'!$A$8:$K$11</v>
      </c>
      <c r="AI27" s="4" t="str">
        <f>ADDRESS($AG27,1,TRUE,TRUE,"Lead Tables")&amp;":"&amp;ADDRESS($AG27,COLUMN('Lead Tables'!$K:$K),TRUE,TRUE)</f>
        <v>'Lead Tables'!$A$8:$K$8</v>
      </c>
      <c r="AJ27" s="64">
        <v>0.1</v>
      </c>
      <c r="AK27">
        <f t="shared" si="4"/>
        <v>1</v>
      </c>
      <c r="AP27"/>
    </row>
    <row r="28" spans="1:42">
      <c r="A28" s="2" t="str">
        <f t="shared" si="0"/>
        <v>Jamicon R-08.0x12.0</v>
      </c>
      <c r="B28" s="35" t="s">
        <v>47</v>
      </c>
      <c r="C28" s="6" t="s">
        <v>59</v>
      </c>
      <c r="D28" s="6" t="s">
        <v>108</v>
      </c>
      <c r="E28" s="7">
        <v>0.5</v>
      </c>
      <c r="F28" s="7">
        <v>2</v>
      </c>
      <c r="G28" s="7">
        <v>0.3</v>
      </c>
      <c r="H28" s="7">
        <v>20.7</v>
      </c>
      <c r="I28" s="31">
        <f t="shared" si="24"/>
        <v>8</v>
      </c>
      <c r="J28" s="31">
        <f t="shared" si="25"/>
        <v>11.5</v>
      </c>
      <c r="K28" s="37">
        <f t="shared" ca="1" si="26"/>
        <v>140</v>
      </c>
      <c r="L28" s="4">
        <f t="shared" si="27"/>
        <v>26.299999999999997</v>
      </c>
      <c r="M28" s="4">
        <f t="shared" ca="1" si="7"/>
        <v>0.6</v>
      </c>
      <c r="N28" s="4">
        <f t="shared" si="28"/>
        <v>0.15</v>
      </c>
      <c r="O28" s="26">
        <v>2</v>
      </c>
      <c r="P28" s="26">
        <v>1.5</v>
      </c>
      <c r="Q28" s="58">
        <f t="shared" si="9"/>
        <v>17</v>
      </c>
      <c r="R28" s="57">
        <f t="shared" si="10"/>
        <v>6</v>
      </c>
      <c r="S28" s="57">
        <f t="shared" si="11"/>
        <v>2</v>
      </c>
      <c r="T28" s="57">
        <v>1</v>
      </c>
      <c r="U28" s="57">
        <v>0</v>
      </c>
      <c r="V28" s="57">
        <v>0</v>
      </c>
      <c r="W28" s="57">
        <v>3</v>
      </c>
      <c r="X28" s="57">
        <f t="shared" si="12"/>
        <v>3</v>
      </c>
      <c r="Y28" s="57">
        <v>8</v>
      </c>
      <c r="Z28" s="57">
        <f t="shared" si="13"/>
        <v>4</v>
      </c>
      <c r="AA28" s="60">
        <f t="shared" si="14"/>
        <v>1.2</v>
      </c>
      <c r="AB28" s="38">
        <f t="shared" si="33"/>
        <v>0.69484655471916612</v>
      </c>
      <c r="AC28" s="38">
        <f t="shared" si="19"/>
        <v>0.47361566089118678</v>
      </c>
      <c r="AD28" s="4">
        <f t="shared" ca="1" si="15"/>
        <v>3.5</v>
      </c>
      <c r="AE28" s="38">
        <f t="shared" si="23"/>
        <v>0.39999999999999997</v>
      </c>
      <c r="AF28" s="4">
        <f t="shared" ca="1" si="32"/>
        <v>3.556</v>
      </c>
      <c r="AG28" s="8">
        <f>1+MATCH($B28,'Lead Tables'!$A:$A,0)</f>
        <v>8</v>
      </c>
      <c r="AH28" s="4" t="str">
        <f>ADDRESS($AG28,1,TRUE,TRUE,"Lead Tables")&amp;":"&amp;ADDRESS($AG28+3,COLUMN('Lead Tables'!$K:$K),TRUE,TRUE)</f>
        <v>'Lead Tables'!$A$8:$K$11</v>
      </c>
      <c r="AI28" s="4" t="str">
        <f>ADDRESS($AG28,1,TRUE,TRUE,"Lead Tables")&amp;":"&amp;ADDRESS($AG28,COLUMN('Lead Tables'!$K:$K),TRUE,TRUE)</f>
        <v>'Lead Tables'!$A$8:$K$8</v>
      </c>
      <c r="AJ28" s="64">
        <v>0.1</v>
      </c>
      <c r="AK28">
        <f t="shared" si="4"/>
        <v>1</v>
      </c>
      <c r="AP28"/>
    </row>
    <row r="29" spans="1:42">
      <c r="A29" s="2" t="str">
        <f t="shared" si="0"/>
        <v>Jamicon R-08.0x15.0</v>
      </c>
      <c r="B29" s="35" t="s">
        <v>47</v>
      </c>
      <c r="C29" s="6" t="s">
        <v>59</v>
      </c>
      <c r="D29" s="6" t="s">
        <v>120</v>
      </c>
      <c r="E29" s="7">
        <v>0.5</v>
      </c>
      <c r="F29" s="7">
        <v>2</v>
      </c>
      <c r="G29" s="7">
        <v>0.3</v>
      </c>
      <c r="H29" s="7">
        <v>20.7</v>
      </c>
      <c r="I29" s="31">
        <f t="shared" si="24"/>
        <v>8</v>
      </c>
      <c r="J29" s="31">
        <f t="shared" si="25"/>
        <v>15</v>
      </c>
      <c r="K29" s="37">
        <f t="shared" ca="1" si="26"/>
        <v>140</v>
      </c>
      <c r="L29" s="4">
        <f t="shared" si="27"/>
        <v>26.299999999999997</v>
      </c>
      <c r="M29" s="4">
        <f t="shared" ca="1" si="7"/>
        <v>0.6</v>
      </c>
      <c r="N29" s="4">
        <f t="shared" si="28"/>
        <v>0.15</v>
      </c>
      <c r="O29" s="26">
        <f t="shared" si="29"/>
        <v>2.4526811374631312</v>
      </c>
      <c r="P29" s="26">
        <f t="shared" si="30"/>
        <v>1.952527562629145</v>
      </c>
      <c r="Q29" s="58">
        <f t="shared" si="9"/>
        <v>17</v>
      </c>
      <c r="R29" s="57">
        <f t="shared" si="10"/>
        <v>6</v>
      </c>
      <c r="S29" s="57">
        <f t="shared" si="11"/>
        <v>2</v>
      </c>
      <c r="T29" s="57">
        <v>1</v>
      </c>
      <c r="U29" s="57">
        <v>0</v>
      </c>
      <c r="V29" s="57">
        <v>0</v>
      </c>
      <c r="W29" s="57">
        <v>3</v>
      </c>
      <c r="X29" s="57">
        <f t="shared" si="12"/>
        <v>3</v>
      </c>
      <c r="Y29" s="57">
        <v>8</v>
      </c>
      <c r="Z29" s="57">
        <f t="shared" si="13"/>
        <v>4</v>
      </c>
      <c r="AA29" s="60">
        <f t="shared" si="14"/>
        <v>1.2</v>
      </c>
      <c r="AB29" s="38">
        <f t="shared" si="33"/>
        <v>0.69484655471916612</v>
      </c>
      <c r="AC29" s="38">
        <f t="shared" si="19"/>
        <v>0.47361566089118678</v>
      </c>
      <c r="AD29" s="4">
        <f t="shared" ca="1" si="15"/>
        <v>3.5</v>
      </c>
      <c r="AE29" s="38">
        <f t="shared" si="23"/>
        <v>0.39999999999999997</v>
      </c>
      <c r="AF29" s="4">
        <f t="shared" ca="1" si="32"/>
        <v>3.556</v>
      </c>
      <c r="AG29" s="8">
        <f>1+MATCH($B29,'Lead Tables'!$A:$A,0)</f>
        <v>8</v>
      </c>
      <c r="AH29" s="4" t="str">
        <f>ADDRESS($AG29,1,TRUE,TRUE,"Lead Tables")&amp;":"&amp;ADDRESS($AG29+3,COLUMN('Lead Tables'!$K:$K),TRUE,TRUE)</f>
        <v>'Lead Tables'!$A$8:$K$11</v>
      </c>
      <c r="AI29" s="4" t="str">
        <f>ADDRESS($AG29,1,TRUE,TRUE,"Lead Tables")&amp;":"&amp;ADDRESS($AG29,COLUMN('Lead Tables'!$K:$K),TRUE,TRUE)</f>
        <v>'Lead Tables'!$A$8:$K$8</v>
      </c>
      <c r="AJ29" s="64">
        <v>0.1</v>
      </c>
      <c r="AK29">
        <f t="shared" si="4"/>
        <v>1</v>
      </c>
      <c r="AP29"/>
    </row>
    <row r="30" spans="1:42">
      <c r="A30" s="2" t="str">
        <f t="shared" si="0"/>
        <v>Jamicon R-08.0x20.0</v>
      </c>
      <c r="B30" s="35" t="s">
        <v>47</v>
      </c>
      <c r="C30" s="6" t="s">
        <v>59</v>
      </c>
      <c r="D30" s="6" t="s">
        <v>121</v>
      </c>
      <c r="E30" s="7">
        <v>0.5</v>
      </c>
      <c r="F30" s="7">
        <v>2</v>
      </c>
      <c r="G30" s="7">
        <v>0.3</v>
      </c>
      <c r="H30" s="7">
        <v>20.7</v>
      </c>
      <c r="I30" s="31">
        <f t="shared" si="24"/>
        <v>8</v>
      </c>
      <c r="J30" s="31">
        <f t="shared" si="25"/>
        <v>20</v>
      </c>
      <c r="K30" s="37">
        <f t="shared" ca="1" si="26"/>
        <v>140</v>
      </c>
      <c r="L30" s="4">
        <f t="shared" si="27"/>
        <v>26.299999999999997</v>
      </c>
      <c r="M30" s="4">
        <f t="shared" ca="1" si="7"/>
        <v>0.6</v>
      </c>
      <c r="N30" s="4">
        <f t="shared" si="28"/>
        <v>0.15</v>
      </c>
      <c r="O30" s="26">
        <f t="shared" si="29"/>
        <v>2.4526811374631312</v>
      </c>
      <c r="P30" s="26">
        <f t="shared" si="30"/>
        <v>1.952527562629145</v>
      </c>
      <c r="Q30" s="58">
        <f t="shared" si="9"/>
        <v>17</v>
      </c>
      <c r="R30" s="57">
        <f t="shared" si="10"/>
        <v>6</v>
      </c>
      <c r="S30" s="57">
        <f t="shared" si="11"/>
        <v>2</v>
      </c>
      <c r="T30" s="57">
        <v>1</v>
      </c>
      <c r="U30" s="57">
        <v>0</v>
      </c>
      <c r="V30" s="57">
        <v>0</v>
      </c>
      <c r="W30" s="57">
        <v>3</v>
      </c>
      <c r="X30" s="57">
        <f t="shared" si="12"/>
        <v>3</v>
      </c>
      <c r="Y30" s="57">
        <v>8</v>
      </c>
      <c r="Z30" s="57">
        <f t="shared" si="13"/>
        <v>4</v>
      </c>
      <c r="AA30" s="60">
        <f t="shared" si="14"/>
        <v>1.2</v>
      </c>
      <c r="AB30" s="38">
        <f t="shared" si="33"/>
        <v>0.69484655471916612</v>
      </c>
      <c r="AC30" s="38">
        <f t="shared" si="19"/>
        <v>0.47361566089118678</v>
      </c>
      <c r="AD30" s="4">
        <f t="shared" ca="1" si="15"/>
        <v>3.5</v>
      </c>
      <c r="AE30" s="38">
        <f t="shared" si="23"/>
        <v>0.39999999999999997</v>
      </c>
      <c r="AF30" s="4">
        <f t="shared" ca="1" si="32"/>
        <v>3.556</v>
      </c>
      <c r="AG30" s="8">
        <f>1+MATCH($B30,'Lead Tables'!$A:$A,0)</f>
        <v>8</v>
      </c>
      <c r="AH30" s="4" t="str">
        <f>ADDRESS($AG30,1,TRUE,TRUE,"Lead Tables")&amp;":"&amp;ADDRESS($AG30+3,COLUMN('Lead Tables'!$K:$K),TRUE,TRUE)</f>
        <v>'Lead Tables'!$A$8:$K$11</v>
      </c>
      <c r="AI30" s="4" t="str">
        <f>ADDRESS($AG30,1,TRUE,TRUE,"Lead Tables")&amp;":"&amp;ADDRESS($AG30,COLUMN('Lead Tables'!$K:$K),TRUE,TRUE)</f>
        <v>'Lead Tables'!$A$8:$K$8</v>
      </c>
      <c r="AJ30" s="64">
        <v>0.1</v>
      </c>
      <c r="AK30">
        <f t="shared" si="4"/>
        <v>1</v>
      </c>
      <c r="AP30"/>
    </row>
    <row r="31" spans="1:42">
      <c r="A31" s="2" t="str">
        <f t="shared" si="0"/>
        <v>Jamicon R-10.0x13.0</v>
      </c>
      <c r="B31" s="35" t="s">
        <v>47</v>
      </c>
      <c r="C31" s="6" t="s">
        <v>59</v>
      </c>
      <c r="D31" s="6" t="s">
        <v>92</v>
      </c>
      <c r="E31" s="7">
        <v>0.5</v>
      </c>
      <c r="F31" s="7">
        <v>2</v>
      </c>
      <c r="G31" s="7">
        <v>0.3</v>
      </c>
      <c r="H31" s="7">
        <v>20.7</v>
      </c>
      <c r="I31" s="31">
        <f t="shared" si="24"/>
        <v>10</v>
      </c>
      <c r="J31" s="31">
        <f t="shared" si="25"/>
        <v>12.5</v>
      </c>
      <c r="K31" s="37">
        <f t="shared" ca="1" si="26"/>
        <v>200</v>
      </c>
      <c r="L31" s="4">
        <f t="shared" si="27"/>
        <v>26.299999999999997</v>
      </c>
      <c r="M31" s="4">
        <f t="shared" ca="1" si="7"/>
        <v>0.6</v>
      </c>
      <c r="N31" s="4">
        <f t="shared" si="28"/>
        <v>0.2</v>
      </c>
      <c r="O31" s="26">
        <f t="shared" si="29"/>
        <v>2.4992188057886255</v>
      </c>
      <c r="P31" s="26">
        <f t="shared" si="30"/>
        <v>1.9663147050153444</v>
      </c>
      <c r="Q31" s="58">
        <f t="shared" si="9"/>
        <v>17</v>
      </c>
      <c r="R31" s="57">
        <f t="shared" si="10"/>
        <v>6</v>
      </c>
      <c r="S31" s="57">
        <f t="shared" si="11"/>
        <v>2</v>
      </c>
      <c r="T31" s="57">
        <v>1</v>
      </c>
      <c r="U31" s="57">
        <v>0</v>
      </c>
      <c r="V31" s="57">
        <v>0</v>
      </c>
      <c r="W31" s="57">
        <v>3</v>
      </c>
      <c r="X31" s="57">
        <f t="shared" si="12"/>
        <v>3</v>
      </c>
      <c r="Y31" s="57">
        <v>8</v>
      </c>
      <c r="Z31" s="57">
        <f t="shared" si="13"/>
        <v>4</v>
      </c>
      <c r="AA31" s="60">
        <f t="shared" si="14"/>
        <v>1.2</v>
      </c>
      <c r="AB31" s="38">
        <f t="shared" si="33"/>
        <v>0.69484655471916612</v>
      </c>
      <c r="AC31" s="38">
        <f t="shared" si="19"/>
        <v>0.47361566089118678</v>
      </c>
      <c r="AD31" s="4">
        <f t="shared" ca="1" si="15"/>
        <v>5</v>
      </c>
      <c r="AE31" s="38">
        <f t="shared" si="23"/>
        <v>0.39999999999999997</v>
      </c>
      <c r="AF31" s="4">
        <f t="shared" ca="1" si="32"/>
        <v>5.08</v>
      </c>
      <c r="AG31" s="8">
        <f>1+MATCH($B31,'Lead Tables'!$A:$A,0)</f>
        <v>8</v>
      </c>
      <c r="AH31" s="4" t="str">
        <f>ADDRESS($AG31,1,TRUE,TRUE,"Lead Tables")&amp;":"&amp;ADDRESS($AG31+3,COLUMN('Lead Tables'!$K:$K),TRUE,TRUE)</f>
        <v>'Lead Tables'!$A$8:$K$11</v>
      </c>
      <c r="AI31" s="4" t="str">
        <f>ADDRESS($AG31,1,TRUE,TRUE,"Lead Tables")&amp;":"&amp;ADDRESS($AG31,COLUMN('Lead Tables'!$K:$K),TRUE,TRUE)</f>
        <v>'Lead Tables'!$A$8:$K$8</v>
      </c>
      <c r="AJ31" s="64">
        <v>0.1</v>
      </c>
      <c r="AK31">
        <f t="shared" si="4"/>
        <v>1</v>
      </c>
      <c r="AP31"/>
    </row>
    <row r="32" spans="1:42">
      <c r="A32" s="2" t="str">
        <f t="shared" si="0"/>
        <v>Jamicon R-10.0x16.0</v>
      </c>
      <c r="B32" s="35" t="s">
        <v>47</v>
      </c>
      <c r="C32" s="6" t="s">
        <v>59</v>
      </c>
      <c r="D32" s="6" t="s">
        <v>74</v>
      </c>
      <c r="E32" s="7">
        <v>0.5</v>
      </c>
      <c r="F32" s="7">
        <v>2</v>
      </c>
      <c r="G32" s="7">
        <v>0.3</v>
      </c>
      <c r="H32" s="7">
        <v>20.7</v>
      </c>
      <c r="I32" s="31">
        <f t="shared" si="24"/>
        <v>10</v>
      </c>
      <c r="J32" s="31">
        <f t="shared" si="25"/>
        <v>16</v>
      </c>
      <c r="K32" s="37">
        <f t="shared" ca="1" si="26"/>
        <v>200</v>
      </c>
      <c r="L32" s="4">
        <f t="shared" si="27"/>
        <v>26.299999999999997</v>
      </c>
      <c r="M32" s="4">
        <f t="shared" ca="1" si="7"/>
        <v>0.6</v>
      </c>
      <c r="N32" s="4">
        <f t="shared" si="28"/>
        <v>0.2</v>
      </c>
      <c r="O32" s="26">
        <f t="shared" si="29"/>
        <v>2.4992188057886255</v>
      </c>
      <c r="P32" s="26">
        <f t="shared" si="30"/>
        <v>1.9663147050153444</v>
      </c>
      <c r="Q32" s="58">
        <f t="shared" si="9"/>
        <v>17</v>
      </c>
      <c r="R32" s="57">
        <f t="shared" si="10"/>
        <v>6</v>
      </c>
      <c r="S32" s="57">
        <f t="shared" si="11"/>
        <v>2</v>
      </c>
      <c r="T32" s="57">
        <v>1</v>
      </c>
      <c r="U32" s="57">
        <v>0</v>
      </c>
      <c r="V32" s="57">
        <v>0</v>
      </c>
      <c r="W32" s="57">
        <v>3</v>
      </c>
      <c r="X32" s="57">
        <f t="shared" si="12"/>
        <v>3</v>
      </c>
      <c r="Y32" s="57">
        <v>8</v>
      </c>
      <c r="Z32" s="57">
        <f t="shared" si="13"/>
        <v>4</v>
      </c>
      <c r="AA32" s="60">
        <f t="shared" si="14"/>
        <v>1.2</v>
      </c>
      <c r="AB32" s="38">
        <f t="shared" si="33"/>
        <v>0.69484655471916612</v>
      </c>
      <c r="AC32" s="38">
        <f t="shared" si="19"/>
        <v>0.47361566089118678</v>
      </c>
      <c r="AD32" s="4">
        <f t="shared" ca="1" si="15"/>
        <v>5</v>
      </c>
      <c r="AE32" s="38">
        <f t="shared" si="23"/>
        <v>0.39999999999999997</v>
      </c>
      <c r="AF32" s="4">
        <f t="shared" ca="1" si="32"/>
        <v>5.08</v>
      </c>
      <c r="AG32" s="8">
        <f>1+MATCH($B32,'Lead Tables'!$A:$A,0)</f>
        <v>8</v>
      </c>
      <c r="AH32" s="4" t="str">
        <f>ADDRESS($AG32,1,TRUE,TRUE,"Lead Tables")&amp;":"&amp;ADDRESS($AG32+3,COLUMN('Lead Tables'!$K:$K),TRUE,TRUE)</f>
        <v>'Lead Tables'!$A$8:$K$11</v>
      </c>
      <c r="AI32" s="4" t="str">
        <f>ADDRESS($AG32,1,TRUE,TRUE,"Lead Tables")&amp;":"&amp;ADDRESS($AG32,COLUMN('Lead Tables'!$K:$K),TRUE,TRUE)</f>
        <v>'Lead Tables'!$A$8:$K$8</v>
      </c>
      <c r="AJ32" s="64">
        <v>0.1</v>
      </c>
      <c r="AK32">
        <f t="shared" si="4"/>
        <v>1</v>
      </c>
      <c r="AP32"/>
    </row>
    <row r="33" spans="1:42">
      <c r="A33" s="2" t="str">
        <f t="shared" si="0"/>
        <v>Jamicon R-10.0x18.0</v>
      </c>
      <c r="B33" s="35" t="s">
        <v>47</v>
      </c>
      <c r="C33" s="6" t="s">
        <v>59</v>
      </c>
      <c r="D33" s="6" t="s">
        <v>93</v>
      </c>
      <c r="E33" s="7">
        <v>0.5</v>
      </c>
      <c r="F33" s="7">
        <v>2</v>
      </c>
      <c r="G33" s="7">
        <v>0.3</v>
      </c>
      <c r="H33" s="7">
        <v>20.7</v>
      </c>
      <c r="I33" s="31">
        <f>VALUE(LEFT($D33,SEARCH("x",$D33)-1))</f>
        <v>10</v>
      </c>
      <c r="J33" s="31">
        <f>VALUE(RIGHT($D33,LEN($D33)-SEARCH("x",$D33)))</f>
        <v>18</v>
      </c>
      <c r="K33" s="37">
        <f ca="1">1000*ROUNDUP($AD33/25.4,2)</f>
        <v>200</v>
      </c>
      <c r="L33" s="4">
        <f>H33+5.6</f>
        <v>26.299999999999997</v>
      </c>
      <c r="M33" s="4">
        <f t="shared" ca="1" si="7"/>
        <v>0.6</v>
      </c>
      <c r="N33" s="4">
        <f>IF($I33&lt;8,0.12,IF($I33&lt;10,0.15,0.2))</f>
        <v>0.2</v>
      </c>
      <c r="O33" s="26">
        <f>4.925363+(2.443075-4.925363)/(1+($I33/16.01491)^7.997158)</f>
        <v>2.4992188057886255</v>
      </c>
      <c r="P33" s="26">
        <f>10.44333+(1.945487-10.44333)/(1+($I33/34.36317)^4.867813)</f>
        <v>1.9663147050153444</v>
      </c>
      <c r="Q33" s="58">
        <f t="shared" si="9"/>
        <v>17</v>
      </c>
      <c r="R33" s="57">
        <f t="shared" si="10"/>
        <v>6</v>
      </c>
      <c r="S33" s="57">
        <f t="shared" si="11"/>
        <v>2</v>
      </c>
      <c r="T33" s="57">
        <v>1</v>
      </c>
      <c r="U33" s="57">
        <v>0</v>
      </c>
      <c r="V33" s="57">
        <v>0</v>
      </c>
      <c r="W33" s="57">
        <v>3</v>
      </c>
      <c r="X33" s="57">
        <f t="shared" si="12"/>
        <v>3</v>
      </c>
      <c r="Y33" s="57">
        <v>8</v>
      </c>
      <c r="Z33" s="57">
        <f t="shared" si="13"/>
        <v>4</v>
      </c>
      <c r="AA33" s="60">
        <f t="shared" si="14"/>
        <v>1.2</v>
      </c>
      <c r="AB33" s="38">
        <f t="shared" si="33"/>
        <v>0.69484655471916612</v>
      </c>
      <c r="AC33" s="38">
        <f t="shared" si="19"/>
        <v>0.47361566089118678</v>
      </c>
      <c r="AD33" s="4">
        <f t="shared" ca="1" si="15"/>
        <v>5</v>
      </c>
      <c r="AE33" s="38">
        <f t="shared" si="23"/>
        <v>0.39999999999999997</v>
      </c>
      <c r="AF33" s="4">
        <f ca="1">K33/1000 * 25.4</f>
        <v>5.08</v>
      </c>
      <c r="AG33" s="8">
        <f>1+MATCH($B33,'Lead Tables'!$A:$A,0)</f>
        <v>8</v>
      </c>
      <c r="AH33" s="4" t="str">
        <f>ADDRESS($AG33,1,TRUE,TRUE,"Lead Tables")&amp;":"&amp;ADDRESS($AG33+3,COLUMN('Lead Tables'!$K:$K),TRUE,TRUE)</f>
        <v>'Lead Tables'!$A$8:$K$11</v>
      </c>
      <c r="AI33" s="4" t="str">
        <f>ADDRESS($AG33,1,TRUE,TRUE,"Lead Tables")&amp;":"&amp;ADDRESS($AG33,COLUMN('Lead Tables'!$K:$K),TRUE,TRUE)</f>
        <v>'Lead Tables'!$A$8:$K$8</v>
      </c>
      <c r="AJ33" s="64">
        <v>0.1</v>
      </c>
      <c r="AK33">
        <f t="shared" si="4"/>
        <v>1</v>
      </c>
      <c r="AP33"/>
    </row>
    <row r="34" spans="1:42">
      <c r="A34" s="2" t="str">
        <f t="shared" ref="A34:A64" si="34">$B34&amp;" "&amp;LEFT($C34,1)&amp;"-"&amp;TEXT(ROUND($I34,0),"00.0")&amp;"x"&amp;TEXT(ROUND($J34,0),"00.0")</f>
        <v>Jamicon R-10.0x20.0</v>
      </c>
      <c r="B34" s="35" t="s">
        <v>47</v>
      </c>
      <c r="C34" s="6" t="s">
        <v>59</v>
      </c>
      <c r="D34" s="6" t="s">
        <v>94</v>
      </c>
      <c r="E34" s="7">
        <v>0.5</v>
      </c>
      <c r="F34" s="7">
        <v>2</v>
      </c>
      <c r="G34" s="7">
        <v>0.3</v>
      </c>
      <c r="H34" s="7">
        <v>20.7</v>
      </c>
      <c r="I34" s="31">
        <f>VALUE(LEFT($D34,SEARCH("x",$D34)-1))</f>
        <v>10</v>
      </c>
      <c r="J34" s="31">
        <f>VALUE(RIGHT($D34,LEN($D34)-SEARCH("x",$D34)))</f>
        <v>20</v>
      </c>
      <c r="K34" s="37">
        <f ca="1">1000*ROUNDUP($AD34/25.4,2)</f>
        <v>200</v>
      </c>
      <c r="L34" s="4">
        <f>H34+5.6</f>
        <v>26.299999999999997</v>
      </c>
      <c r="M34" s="4">
        <f t="shared" ca="1" si="7"/>
        <v>0.6</v>
      </c>
      <c r="N34" s="4">
        <f>IF($I34&lt;8,0.12,IF($I34&lt;10,0.15,0.2))</f>
        <v>0.2</v>
      </c>
      <c r="O34" s="26">
        <f>4.925363+(2.443075-4.925363)/(1+($I34/16.01491)^7.997158)</f>
        <v>2.4992188057886255</v>
      </c>
      <c r="P34" s="26">
        <f>10.44333+(1.945487-10.44333)/(1+($I34/34.36317)^4.867813)</f>
        <v>1.9663147050153444</v>
      </c>
      <c r="Q34" s="58">
        <f t="shared" si="9"/>
        <v>17</v>
      </c>
      <c r="R34" s="57">
        <f t="shared" si="10"/>
        <v>6</v>
      </c>
      <c r="S34" s="57">
        <f t="shared" si="11"/>
        <v>2</v>
      </c>
      <c r="T34" s="57">
        <v>1</v>
      </c>
      <c r="U34" s="57">
        <v>0</v>
      </c>
      <c r="V34" s="57">
        <v>0</v>
      </c>
      <c r="W34" s="57">
        <v>3</v>
      </c>
      <c r="X34" s="57">
        <f t="shared" si="12"/>
        <v>3</v>
      </c>
      <c r="Y34" s="57">
        <v>8</v>
      </c>
      <c r="Z34" s="57">
        <f t="shared" si="13"/>
        <v>4</v>
      </c>
      <c r="AA34" s="60">
        <f t="shared" si="14"/>
        <v>1.2</v>
      </c>
      <c r="AB34" s="38">
        <f t="shared" si="33"/>
        <v>0.69484655471916612</v>
      </c>
      <c r="AC34" s="38">
        <f t="shared" si="19"/>
        <v>0.47361566089118678</v>
      </c>
      <c r="AD34" s="4">
        <f t="shared" ca="1" si="15"/>
        <v>5</v>
      </c>
      <c r="AE34" s="38">
        <f t="shared" si="23"/>
        <v>0.39999999999999997</v>
      </c>
      <c r="AF34" s="4">
        <f ca="1">K34/1000 * 25.4</f>
        <v>5.08</v>
      </c>
      <c r="AG34" s="8">
        <f>1+MATCH($B34,'Lead Tables'!$A:$A,0)</f>
        <v>8</v>
      </c>
      <c r="AH34" s="4" t="str">
        <f>ADDRESS($AG34,1,TRUE,TRUE,"Lead Tables")&amp;":"&amp;ADDRESS($AG34+3,COLUMN('Lead Tables'!$K:$K),TRUE,TRUE)</f>
        <v>'Lead Tables'!$A$8:$K$11</v>
      </c>
      <c r="AI34" s="4" t="str">
        <f>ADDRESS($AG34,1,TRUE,TRUE,"Lead Tables")&amp;":"&amp;ADDRESS($AG34,COLUMN('Lead Tables'!$K:$K),TRUE,TRUE)</f>
        <v>'Lead Tables'!$A$8:$K$8</v>
      </c>
      <c r="AJ34" s="64">
        <v>0.1</v>
      </c>
      <c r="AK34">
        <f t="shared" ref="AK34:AK63" si="35">COUNTIF(A:A,A34)</f>
        <v>1</v>
      </c>
      <c r="AP34"/>
    </row>
    <row r="35" spans="1:42">
      <c r="A35" s="2" t="str">
        <f t="shared" si="34"/>
        <v>Jamicon R-10.0x25.0</v>
      </c>
      <c r="B35" s="35" t="s">
        <v>47</v>
      </c>
      <c r="C35" s="6" t="s">
        <v>59</v>
      </c>
      <c r="D35" s="6" t="s">
        <v>123</v>
      </c>
      <c r="E35" s="7">
        <v>0.5</v>
      </c>
      <c r="F35" s="7">
        <v>2</v>
      </c>
      <c r="G35" s="7">
        <v>0.3</v>
      </c>
      <c r="H35" s="7">
        <v>20.7</v>
      </c>
      <c r="I35" s="31">
        <f t="shared" ref="I35:I62" si="36">VALUE(LEFT($D35,SEARCH("x",$D35)-1))</f>
        <v>10</v>
      </c>
      <c r="J35" s="31">
        <f t="shared" ref="J35:J62" si="37">VALUE(RIGHT($D35,LEN($D35)-SEARCH("x",$D35)))</f>
        <v>25</v>
      </c>
      <c r="K35" s="37">
        <f t="shared" ref="K35:K62" ca="1" si="38">1000*ROUNDUP($AD35/25.4,2)</f>
        <v>200</v>
      </c>
      <c r="L35" s="4">
        <f t="shared" ref="L35:L62" si="39">H35+5.6</f>
        <v>26.299999999999997</v>
      </c>
      <c r="M35" s="4">
        <f t="shared" ref="M35:M62" ca="1" si="40">INDEX(INDIRECT($AH35),3,MATCH($I35,INDIRECT($AI35),0))</f>
        <v>0.6</v>
      </c>
      <c r="N35" s="4">
        <f t="shared" ref="N35:N62" si="41">IF($I35&lt;8,0.12,IF($I35&lt;10,0.15,0.2))</f>
        <v>0.2</v>
      </c>
      <c r="O35" s="26">
        <f t="shared" ref="O35:O62" si="42">4.925363+(2.443075-4.925363)/(1+($I35/16.01491)^7.997158)</f>
        <v>2.4992188057886255</v>
      </c>
      <c r="P35" s="26">
        <f t="shared" ref="P35:P62" si="43">10.44333+(1.945487-10.44333)/(1+($I35/34.36317)^4.867813)</f>
        <v>1.9663147050153444</v>
      </c>
      <c r="Q35" s="58">
        <f t="shared" ref="Q35:Q62" si="44">rptMinUntilExtent</f>
        <v>17</v>
      </c>
      <c r="R35" s="57">
        <f t="shared" ref="R35:R62" si="45">rptNumberOfTimesOfLineNo</f>
        <v>6</v>
      </c>
      <c r="S35" s="57">
        <f t="shared" ref="S35:S62" si="46">rptUntilExtentThenFit</f>
        <v>2</v>
      </c>
      <c r="T35" s="57">
        <v>1</v>
      </c>
      <c r="U35" s="57">
        <v>0</v>
      </c>
      <c r="V35" s="57">
        <v>0</v>
      </c>
      <c r="W35" s="57">
        <v>3</v>
      </c>
      <c r="X35" s="57">
        <f t="shared" si="12"/>
        <v>3</v>
      </c>
      <c r="Y35" s="57">
        <v>8</v>
      </c>
      <c r="Z35" s="57">
        <f t="shared" si="13"/>
        <v>4</v>
      </c>
      <c r="AA35" s="60">
        <f t="shared" si="14"/>
        <v>1.2</v>
      </c>
      <c r="AB35" s="38">
        <f t="shared" si="33"/>
        <v>0.69484655471916612</v>
      </c>
      <c r="AC35" s="38">
        <f t="shared" si="19"/>
        <v>0.47361566089118678</v>
      </c>
      <c r="AD35" s="4">
        <f t="shared" ref="AD35:AD62" ca="1" si="47">INDEX(INDIRECT($AH35),2,MATCH($I35,INDIRECT($AI35),0))</f>
        <v>5</v>
      </c>
      <c r="AE35" s="38">
        <f t="shared" si="23"/>
        <v>0.39999999999999997</v>
      </c>
      <c r="AF35" s="4">
        <f t="shared" ref="AF35:AF62" ca="1" si="48">K35/1000 * 25.4</f>
        <v>5.08</v>
      </c>
      <c r="AG35" s="8">
        <f>1+MATCH($B35,'Lead Tables'!$A:$A,0)</f>
        <v>8</v>
      </c>
      <c r="AH35" s="4" t="str">
        <f>ADDRESS($AG35,1,TRUE,TRUE,"Lead Tables")&amp;":"&amp;ADDRESS($AG35+3,COLUMN('Lead Tables'!$K:$K),TRUE,TRUE)</f>
        <v>'Lead Tables'!$A$8:$K$11</v>
      </c>
      <c r="AI35" s="4" t="str">
        <f>ADDRESS($AG35,1,TRUE,TRUE,"Lead Tables")&amp;":"&amp;ADDRESS($AG35,COLUMN('Lead Tables'!$K:$K),TRUE,TRUE)</f>
        <v>'Lead Tables'!$A$8:$K$8</v>
      </c>
      <c r="AJ35" s="64">
        <v>0.1</v>
      </c>
      <c r="AK35">
        <f t="shared" si="35"/>
        <v>1</v>
      </c>
      <c r="AP35"/>
    </row>
    <row r="36" spans="1:42">
      <c r="A36" s="2" t="str">
        <f t="shared" si="34"/>
        <v>Jamicon R-10.0x28.0</v>
      </c>
      <c r="B36" s="35" t="s">
        <v>47</v>
      </c>
      <c r="C36" s="6" t="s">
        <v>59</v>
      </c>
      <c r="D36" s="6" t="s">
        <v>125</v>
      </c>
      <c r="E36" s="7">
        <v>0.5</v>
      </c>
      <c r="F36" s="7">
        <v>2</v>
      </c>
      <c r="G36" s="7">
        <v>0.3</v>
      </c>
      <c r="H36" s="7">
        <v>20.7</v>
      </c>
      <c r="I36" s="31">
        <f t="shared" si="36"/>
        <v>10</v>
      </c>
      <c r="J36" s="31">
        <f t="shared" si="37"/>
        <v>28</v>
      </c>
      <c r="K36" s="37">
        <f t="shared" ca="1" si="38"/>
        <v>200</v>
      </c>
      <c r="L36" s="4">
        <f t="shared" si="39"/>
        <v>26.299999999999997</v>
      </c>
      <c r="M36" s="4">
        <f t="shared" ca="1" si="40"/>
        <v>0.6</v>
      </c>
      <c r="N36" s="4">
        <f t="shared" si="41"/>
        <v>0.2</v>
      </c>
      <c r="O36" s="26">
        <f t="shared" si="42"/>
        <v>2.4992188057886255</v>
      </c>
      <c r="P36" s="26">
        <f t="shared" si="43"/>
        <v>1.9663147050153444</v>
      </c>
      <c r="Q36" s="58">
        <f t="shared" si="44"/>
        <v>17</v>
      </c>
      <c r="R36" s="57">
        <f t="shared" si="45"/>
        <v>6</v>
      </c>
      <c r="S36" s="57">
        <f t="shared" si="46"/>
        <v>2</v>
      </c>
      <c r="T36" s="57">
        <v>1</v>
      </c>
      <c r="U36" s="57">
        <v>0</v>
      </c>
      <c r="V36" s="57">
        <v>0</v>
      </c>
      <c r="W36" s="57">
        <v>3</v>
      </c>
      <c r="X36" s="57">
        <f t="shared" si="12"/>
        <v>3</v>
      </c>
      <c r="Y36" s="57">
        <v>8</v>
      </c>
      <c r="Z36" s="57">
        <f t="shared" si="13"/>
        <v>4</v>
      </c>
      <c r="AA36" s="60">
        <f t="shared" si="14"/>
        <v>1.2</v>
      </c>
      <c r="AB36" s="38">
        <f t="shared" si="33"/>
        <v>0.69484655471916612</v>
      </c>
      <c r="AC36" s="38">
        <f t="shared" si="19"/>
        <v>0.47361566089118678</v>
      </c>
      <c r="AD36" s="4">
        <f t="shared" ca="1" si="47"/>
        <v>5</v>
      </c>
      <c r="AE36" s="38">
        <f t="shared" si="23"/>
        <v>0.39999999999999997</v>
      </c>
      <c r="AF36" s="4">
        <f t="shared" ca="1" si="48"/>
        <v>5.08</v>
      </c>
      <c r="AG36" s="8">
        <f>1+MATCH($B36,'Lead Tables'!$A:$A,0)</f>
        <v>8</v>
      </c>
      <c r="AH36" s="4" t="str">
        <f>ADDRESS($AG36,1,TRUE,TRUE,"Lead Tables")&amp;":"&amp;ADDRESS($AG36+3,COLUMN('Lead Tables'!$K:$K),TRUE,TRUE)</f>
        <v>'Lead Tables'!$A$8:$K$11</v>
      </c>
      <c r="AI36" s="4" t="str">
        <f>ADDRESS($AG36,1,TRUE,TRUE,"Lead Tables")&amp;":"&amp;ADDRESS($AG36,COLUMN('Lead Tables'!$K:$K),TRUE,TRUE)</f>
        <v>'Lead Tables'!$A$8:$K$8</v>
      </c>
      <c r="AJ36" s="64">
        <v>0.1</v>
      </c>
      <c r="AK36">
        <f t="shared" si="35"/>
        <v>1</v>
      </c>
      <c r="AP36"/>
    </row>
    <row r="37" spans="1:42">
      <c r="A37" s="2" t="str">
        <f t="shared" si="34"/>
        <v>Jamicon R-10.0x30.0</v>
      </c>
      <c r="B37" s="35" t="s">
        <v>47</v>
      </c>
      <c r="C37" s="6" t="s">
        <v>59</v>
      </c>
      <c r="D37" s="6" t="s">
        <v>135</v>
      </c>
      <c r="E37" s="7">
        <v>0.5</v>
      </c>
      <c r="F37" s="7">
        <v>2</v>
      </c>
      <c r="G37" s="7">
        <v>0.3</v>
      </c>
      <c r="H37" s="7">
        <v>20.7</v>
      </c>
      <c r="I37" s="31">
        <f t="shared" si="36"/>
        <v>10</v>
      </c>
      <c r="J37" s="31">
        <f t="shared" si="37"/>
        <v>30</v>
      </c>
      <c r="K37" s="37">
        <f t="shared" ca="1" si="38"/>
        <v>200</v>
      </c>
      <c r="L37" s="4">
        <f t="shared" si="39"/>
        <v>26.299999999999997</v>
      </c>
      <c r="M37" s="4">
        <f t="shared" ca="1" si="40"/>
        <v>0.6</v>
      </c>
      <c r="N37" s="4">
        <f t="shared" si="41"/>
        <v>0.2</v>
      </c>
      <c r="O37" s="26">
        <f t="shared" si="42"/>
        <v>2.4992188057886255</v>
      </c>
      <c r="P37" s="26">
        <f t="shared" si="43"/>
        <v>1.9663147050153444</v>
      </c>
      <c r="Q37" s="58">
        <f t="shared" si="44"/>
        <v>17</v>
      </c>
      <c r="R37" s="57">
        <f t="shared" si="45"/>
        <v>6</v>
      </c>
      <c r="S37" s="57">
        <f t="shared" si="46"/>
        <v>2</v>
      </c>
      <c r="T37" s="57">
        <v>1</v>
      </c>
      <c r="U37" s="57">
        <v>0</v>
      </c>
      <c r="V37" s="57">
        <v>0</v>
      </c>
      <c r="W37" s="57">
        <v>3</v>
      </c>
      <c r="X37" s="57">
        <f t="shared" si="12"/>
        <v>3</v>
      </c>
      <c r="Y37" s="57">
        <v>8</v>
      </c>
      <c r="Z37" s="57">
        <f t="shared" si="13"/>
        <v>4</v>
      </c>
      <c r="AA37" s="60">
        <f t="shared" si="14"/>
        <v>1.2</v>
      </c>
      <c r="AB37" s="38">
        <f t="shared" si="33"/>
        <v>0.69484655471916612</v>
      </c>
      <c r="AC37" s="38">
        <f t="shared" si="19"/>
        <v>0.47361566089118678</v>
      </c>
      <c r="AD37" s="4">
        <f t="shared" ca="1" si="47"/>
        <v>5</v>
      </c>
      <c r="AE37" s="38">
        <f t="shared" si="23"/>
        <v>0.39999999999999997</v>
      </c>
      <c r="AF37" s="4">
        <f t="shared" ca="1" si="48"/>
        <v>5.08</v>
      </c>
      <c r="AG37" s="8">
        <f>1+MATCH($B37,'Lead Tables'!$A:$A,0)</f>
        <v>8</v>
      </c>
      <c r="AH37" s="4" t="str">
        <f>ADDRESS($AG37,1,TRUE,TRUE,"Lead Tables")&amp;":"&amp;ADDRESS($AG37+3,COLUMN('Lead Tables'!$K:$K),TRUE,TRUE)</f>
        <v>'Lead Tables'!$A$8:$K$11</v>
      </c>
      <c r="AI37" s="4" t="str">
        <f>ADDRESS($AG37,1,TRUE,TRUE,"Lead Tables")&amp;":"&amp;ADDRESS($AG37,COLUMN('Lead Tables'!$K:$K),TRUE,TRUE)</f>
        <v>'Lead Tables'!$A$8:$K$8</v>
      </c>
      <c r="AJ37" s="64">
        <v>0.1</v>
      </c>
      <c r="AK37">
        <f t="shared" si="35"/>
        <v>1</v>
      </c>
      <c r="AP37"/>
    </row>
    <row r="38" spans="1:42">
      <c r="A38" s="2" t="str">
        <f t="shared" si="34"/>
        <v>Jamicon R-13.0x15.0</v>
      </c>
      <c r="B38" s="35" t="s">
        <v>47</v>
      </c>
      <c r="C38" s="6" t="s">
        <v>59</v>
      </c>
      <c r="D38" s="6" t="s">
        <v>122</v>
      </c>
      <c r="E38" s="7">
        <v>0.5</v>
      </c>
      <c r="F38" s="7">
        <v>2</v>
      </c>
      <c r="G38" s="7">
        <v>0.3</v>
      </c>
      <c r="H38" s="7">
        <v>20.7</v>
      </c>
      <c r="I38" s="31">
        <f t="shared" si="36"/>
        <v>12.5</v>
      </c>
      <c r="J38" s="31">
        <f t="shared" si="37"/>
        <v>15</v>
      </c>
      <c r="K38" s="37">
        <f t="shared" ca="1" si="38"/>
        <v>200</v>
      </c>
      <c r="L38" s="4">
        <f t="shared" si="39"/>
        <v>26.299999999999997</v>
      </c>
      <c r="M38" s="4">
        <f t="shared" ca="1" si="40"/>
        <v>0.6</v>
      </c>
      <c r="N38" s="4">
        <f t="shared" si="41"/>
        <v>0.2</v>
      </c>
      <c r="O38" s="26">
        <f t="shared" si="42"/>
        <v>2.7437927893591403</v>
      </c>
      <c r="P38" s="26">
        <f t="shared" si="43"/>
        <v>2.0069051477540079</v>
      </c>
      <c r="Q38" s="58">
        <f t="shared" si="44"/>
        <v>17</v>
      </c>
      <c r="R38" s="57">
        <f t="shared" si="45"/>
        <v>6</v>
      </c>
      <c r="S38" s="57">
        <f t="shared" si="46"/>
        <v>2</v>
      </c>
      <c r="T38" s="57">
        <v>1</v>
      </c>
      <c r="U38" s="57">
        <v>0</v>
      </c>
      <c r="V38" s="57">
        <v>0</v>
      </c>
      <c r="W38" s="57">
        <v>3</v>
      </c>
      <c r="X38" s="57">
        <f t="shared" si="12"/>
        <v>3</v>
      </c>
      <c r="Y38" s="57">
        <v>8</v>
      </c>
      <c r="Z38" s="57">
        <f t="shared" si="13"/>
        <v>4</v>
      </c>
      <c r="AA38" s="60">
        <f t="shared" si="14"/>
        <v>1.3</v>
      </c>
      <c r="AB38" s="38">
        <f t="shared" si="33"/>
        <v>0.75275043427909671</v>
      </c>
      <c r="AC38" s="38">
        <f t="shared" si="19"/>
        <v>0.51308363263211909</v>
      </c>
      <c r="AD38" s="4">
        <f t="shared" ca="1" si="47"/>
        <v>5</v>
      </c>
      <c r="AE38" s="38">
        <f t="shared" si="23"/>
        <v>0.43333333333333335</v>
      </c>
      <c r="AF38" s="4">
        <f t="shared" ca="1" si="48"/>
        <v>5.08</v>
      </c>
      <c r="AG38" s="8">
        <f>1+MATCH($B38,'Lead Tables'!$A:$A,0)</f>
        <v>8</v>
      </c>
      <c r="AH38" s="4" t="str">
        <f>ADDRESS($AG38,1,TRUE,TRUE,"Lead Tables")&amp;":"&amp;ADDRESS($AG38+3,COLUMN('Lead Tables'!$K:$K),TRUE,TRUE)</f>
        <v>'Lead Tables'!$A$8:$K$11</v>
      </c>
      <c r="AI38" s="4" t="str">
        <f>ADDRESS($AG38,1,TRUE,TRUE,"Lead Tables")&amp;":"&amp;ADDRESS($AG38,COLUMN('Lead Tables'!$K:$K),TRUE,TRUE)</f>
        <v>'Lead Tables'!$A$8:$K$8</v>
      </c>
      <c r="AJ38" s="64">
        <v>0.1</v>
      </c>
      <c r="AK38">
        <f t="shared" si="35"/>
        <v>1</v>
      </c>
      <c r="AP38"/>
    </row>
    <row r="39" spans="1:42">
      <c r="A39" s="2" t="str">
        <f t="shared" si="34"/>
        <v>Jamicon R-13.0x18.0</v>
      </c>
      <c r="B39" s="35" t="s">
        <v>47</v>
      </c>
      <c r="C39" s="6" t="s">
        <v>59</v>
      </c>
      <c r="D39" s="6" t="s">
        <v>124</v>
      </c>
      <c r="E39" s="7">
        <v>0.5</v>
      </c>
      <c r="F39" s="7">
        <v>2</v>
      </c>
      <c r="G39" s="7">
        <v>0.3</v>
      </c>
      <c r="H39" s="7">
        <v>20.7</v>
      </c>
      <c r="I39" s="31">
        <f t="shared" si="36"/>
        <v>12.5</v>
      </c>
      <c r="J39" s="31">
        <f t="shared" si="37"/>
        <v>18</v>
      </c>
      <c r="K39" s="37">
        <f t="shared" ca="1" si="38"/>
        <v>200</v>
      </c>
      <c r="L39" s="4">
        <f t="shared" si="39"/>
        <v>26.299999999999997</v>
      </c>
      <c r="M39" s="4">
        <f t="shared" ca="1" si="40"/>
        <v>0.6</v>
      </c>
      <c r="N39" s="4">
        <f t="shared" si="41"/>
        <v>0.2</v>
      </c>
      <c r="O39" s="26">
        <f t="shared" si="42"/>
        <v>2.7437927893591403</v>
      </c>
      <c r="P39" s="26">
        <f t="shared" si="43"/>
        <v>2.0069051477540079</v>
      </c>
      <c r="Q39" s="58">
        <f t="shared" si="44"/>
        <v>17</v>
      </c>
      <c r="R39" s="57">
        <f t="shared" si="45"/>
        <v>6</v>
      </c>
      <c r="S39" s="57">
        <f t="shared" si="46"/>
        <v>2</v>
      </c>
      <c r="T39" s="57">
        <v>1</v>
      </c>
      <c r="U39" s="57">
        <v>0</v>
      </c>
      <c r="V39" s="57">
        <v>0</v>
      </c>
      <c r="W39" s="57">
        <v>3</v>
      </c>
      <c r="X39" s="57">
        <f t="shared" si="12"/>
        <v>3</v>
      </c>
      <c r="Y39" s="57">
        <v>8</v>
      </c>
      <c r="Z39" s="57">
        <f t="shared" si="13"/>
        <v>4</v>
      </c>
      <c r="AA39" s="60">
        <f t="shared" si="14"/>
        <v>1.3</v>
      </c>
      <c r="AB39" s="38">
        <f t="shared" si="33"/>
        <v>0.75275043427909671</v>
      </c>
      <c r="AC39" s="38">
        <f t="shared" si="19"/>
        <v>0.51308363263211909</v>
      </c>
      <c r="AD39" s="4">
        <f t="shared" ca="1" si="47"/>
        <v>5</v>
      </c>
      <c r="AE39" s="38">
        <f t="shared" si="23"/>
        <v>0.43333333333333335</v>
      </c>
      <c r="AF39" s="4">
        <f t="shared" ca="1" si="48"/>
        <v>5.08</v>
      </c>
      <c r="AG39" s="8">
        <f>1+MATCH($B39,'Lead Tables'!$A:$A,0)</f>
        <v>8</v>
      </c>
      <c r="AH39" s="4" t="str">
        <f>ADDRESS($AG39,1,TRUE,TRUE,"Lead Tables")&amp;":"&amp;ADDRESS($AG39+3,COLUMN('Lead Tables'!$K:$K),TRUE,TRUE)</f>
        <v>'Lead Tables'!$A$8:$K$11</v>
      </c>
      <c r="AI39" s="4" t="str">
        <f>ADDRESS($AG39,1,TRUE,TRUE,"Lead Tables")&amp;":"&amp;ADDRESS($AG39,COLUMN('Lead Tables'!$K:$K),TRUE,TRUE)</f>
        <v>'Lead Tables'!$A$8:$K$8</v>
      </c>
      <c r="AJ39" s="64">
        <v>0.1</v>
      </c>
      <c r="AK39">
        <f t="shared" si="35"/>
        <v>1</v>
      </c>
      <c r="AP39"/>
    </row>
    <row r="40" spans="1:42">
      <c r="A40" s="2" t="str">
        <f t="shared" si="34"/>
        <v>Jamicon R-13.0x20.0</v>
      </c>
      <c r="B40" s="35" t="s">
        <v>47</v>
      </c>
      <c r="C40" s="6" t="s">
        <v>59</v>
      </c>
      <c r="D40" s="6" t="s">
        <v>95</v>
      </c>
      <c r="E40" s="7">
        <v>0.5</v>
      </c>
      <c r="F40" s="7">
        <v>2</v>
      </c>
      <c r="G40" s="7">
        <v>0.3</v>
      </c>
      <c r="H40" s="7">
        <v>20.7</v>
      </c>
      <c r="I40" s="31">
        <f t="shared" si="36"/>
        <v>12.5</v>
      </c>
      <c r="J40" s="31">
        <f t="shared" si="37"/>
        <v>20</v>
      </c>
      <c r="K40" s="37">
        <f t="shared" ca="1" si="38"/>
        <v>200</v>
      </c>
      <c r="L40" s="4">
        <f t="shared" si="39"/>
        <v>26.299999999999997</v>
      </c>
      <c r="M40" s="4">
        <f t="shared" ca="1" si="40"/>
        <v>0.6</v>
      </c>
      <c r="N40" s="4">
        <f t="shared" si="41"/>
        <v>0.2</v>
      </c>
      <c r="O40" s="26">
        <f t="shared" si="42"/>
        <v>2.7437927893591403</v>
      </c>
      <c r="P40" s="26">
        <f t="shared" si="43"/>
        <v>2.0069051477540079</v>
      </c>
      <c r="Q40" s="58">
        <f t="shared" si="44"/>
        <v>17</v>
      </c>
      <c r="R40" s="57">
        <f t="shared" si="45"/>
        <v>6</v>
      </c>
      <c r="S40" s="57">
        <f t="shared" si="46"/>
        <v>2</v>
      </c>
      <c r="T40" s="57">
        <v>1</v>
      </c>
      <c r="U40" s="57">
        <v>0</v>
      </c>
      <c r="V40" s="57">
        <v>0</v>
      </c>
      <c r="W40" s="57">
        <v>3</v>
      </c>
      <c r="X40" s="57">
        <f t="shared" si="12"/>
        <v>3</v>
      </c>
      <c r="Y40" s="57">
        <v>8</v>
      </c>
      <c r="Z40" s="57">
        <f t="shared" si="13"/>
        <v>4</v>
      </c>
      <c r="AA40" s="60">
        <f t="shared" si="14"/>
        <v>1.3</v>
      </c>
      <c r="AB40" s="38">
        <f t="shared" si="33"/>
        <v>0.75275043427909671</v>
      </c>
      <c r="AC40" s="38">
        <f t="shared" si="19"/>
        <v>0.51308363263211909</v>
      </c>
      <c r="AD40" s="4">
        <f t="shared" ca="1" si="47"/>
        <v>5</v>
      </c>
      <c r="AE40" s="38">
        <f t="shared" si="23"/>
        <v>0.43333333333333335</v>
      </c>
      <c r="AF40" s="4">
        <f t="shared" ca="1" si="48"/>
        <v>5.08</v>
      </c>
      <c r="AG40" s="8">
        <f>1+MATCH($B40,'Lead Tables'!$A:$A,0)</f>
        <v>8</v>
      </c>
      <c r="AH40" s="4" t="str">
        <f>ADDRESS($AG40,1,TRUE,TRUE,"Lead Tables")&amp;":"&amp;ADDRESS($AG40+3,COLUMN('Lead Tables'!$K:$K),TRUE,TRUE)</f>
        <v>'Lead Tables'!$A$8:$K$11</v>
      </c>
      <c r="AI40" s="4" t="str">
        <f>ADDRESS($AG40,1,TRUE,TRUE,"Lead Tables")&amp;":"&amp;ADDRESS($AG40,COLUMN('Lead Tables'!$K:$K),TRUE,TRUE)</f>
        <v>'Lead Tables'!$A$8:$K$8</v>
      </c>
      <c r="AJ40" s="64">
        <v>0.1</v>
      </c>
      <c r="AK40">
        <f t="shared" si="35"/>
        <v>1</v>
      </c>
      <c r="AP40"/>
    </row>
    <row r="41" spans="1:42">
      <c r="A41" s="2" t="str">
        <f t="shared" si="34"/>
        <v>Jamicon R-13.0x25.0</v>
      </c>
      <c r="B41" s="35" t="s">
        <v>47</v>
      </c>
      <c r="C41" s="6" t="s">
        <v>59</v>
      </c>
      <c r="D41" s="6" t="s">
        <v>96</v>
      </c>
      <c r="E41" s="7">
        <v>0.5</v>
      </c>
      <c r="F41" s="7">
        <v>2</v>
      </c>
      <c r="G41" s="7">
        <v>0.3</v>
      </c>
      <c r="H41" s="7">
        <v>20.7</v>
      </c>
      <c r="I41" s="31">
        <f t="shared" si="36"/>
        <v>12.5</v>
      </c>
      <c r="J41" s="31">
        <f t="shared" si="37"/>
        <v>25</v>
      </c>
      <c r="K41" s="37">
        <f t="shared" ca="1" si="38"/>
        <v>200</v>
      </c>
      <c r="L41" s="4">
        <f t="shared" si="39"/>
        <v>26.299999999999997</v>
      </c>
      <c r="M41" s="4">
        <f t="shared" ca="1" si="40"/>
        <v>0.6</v>
      </c>
      <c r="N41" s="4">
        <f t="shared" si="41"/>
        <v>0.2</v>
      </c>
      <c r="O41" s="26">
        <f t="shared" si="42"/>
        <v>2.7437927893591403</v>
      </c>
      <c r="P41" s="26">
        <f t="shared" si="43"/>
        <v>2.0069051477540079</v>
      </c>
      <c r="Q41" s="58">
        <f t="shared" si="44"/>
        <v>17</v>
      </c>
      <c r="R41" s="57">
        <f t="shared" si="45"/>
        <v>6</v>
      </c>
      <c r="S41" s="57">
        <f t="shared" si="46"/>
        <v>2</v>
      </c>
      <c r="T41" s="57">
        <v>1</v>
      </c>
      <c r="U41" s="57">
        <v>0</v>
      </c>
      <c r="V41" s="57">
        <v>0</v>
      </c>
      <c r="W41" s="57">
        <v>3</v>
      </c>
      <c r="X41" s="57">
        <f t="shared" si="12"/>
        <v>3</v>
      </c>
      <c r="Y41" s="57">
        <v>8</v>
      </c>
      <c r="Z41" s="57">
        <f t="shared" si="13"/>
        <v>4</v>
      </c>
      <c r="AA41" s="60">
        <f t="shared" si="14"/>
        <v>1.3</v>
      </c>
      <c r="AB41" s="38">
        <f t="shared" si="33"/>
        <v>0.75275043427909671</v>
      </c>
      <c r="AC41" s="38">
        <f t="shared" si="19"/>
        <v>0.51308363263211909</v>
      </c>
      <c r="AD41" s="4">
        <f t="shared" ca="1" si="47"/>
        <v>5</v>
      </c>
      <c r="AE41" s="38">
        <f t="shared" si="23"/>
        <v>0.43333333333333335</v>
      </c>
      <c r="AF41" s="4">
        <f t="shared" ca="1" si="48"/>
        <v>5.08</v>
      </c>
      <c r="AG41" s="8">
        <f>1+MATCH($B41,'Lead Tables'!$A:$A,0)</f>
        <v>8</v>
      </c>
      <c r="AH41" s="4" t="str">
        <f>ADDRESS($AG41,1,TRUE,TRUE,"Lead Tables")&amp;":"&amp;ADDRESS($AG41+3,COLUMN('Lead Tables'!$K:$K),TRUE,TRUE)</f>
        <v>'Lead Tables'!$A$8:$K$11</v>
      </c>
      <c r="AI41" s="4" t="str">
        <f>ADDRESS($AG41,1,TRUE,TRUE,"Lead Tables")&amp;":"&amp;ADDRESS($AG41,COLUMN('Lead Tables'!$K:$K),TRUE,TRUE)</f>
        <v>'Lead Tables'!$A$8:$K$8</v>
      </c>
      <c r="AJ41" s="64">
        <v>0.1</v>
      </c>
      <c r="AK41">
        <f t="shared" si="35"/>
        <v>1</v>
      </c>
      <c r="AP41"/>
    </row>
    <row r="42" spans="1:42">
      <c r="A42" s="2" t="str">
        <f t="shared" si="34"/>
        <v>Jamicon R-13.0x30.0</v>
      </c>
      <c r="B42" s="35" t="s">
        <v>47</v>
      </c>
      <c r="C42" s="6" t="s">
        <v>59</v>
      </c>
      <c r="D42" s="6" t="s">
        <v>128</v>
      </c>
      <c r="E42" s="7">
        <v>0.5</v>
      </c>
      <c r="F42" s="7">
        <v>2</v>
      </c>
      <c r="G42" s="7">
        <v>0.3</v>
      </c>
      <c r="H42" s="7">
        <v>20.7</v>
      </c>
      <c r="I42" s="31">
        <f t="shared" si="36"/>
        <v>12.5</v>
      </c>
      <c r="J42" s="31">
        <f t="shared" si="37"/>
        <v>30</v>
      </c>
      <c r="K42" s="37">
        <f t="shared" ca="1" si="38"/>
        <v>200</v>
      </c>
      <c r="L42" s="4">
        <f t="shared" si="39"/>
        <v>26.299999999999997</v>
      </c>
      <c r="M42" s="4">
        <f t="shared" ca="1" si="40"/>
        <v>0.6</v>
      </c>
      <c r="N42" s="4">
        <f t="shared" si="41"/>
        <v>0.2</v>
      </c>
      <c r="O42" s="26">
        <f t="shared" si="42"/>
        <v>2.7437927893591403</v>
      </c>
      <c r="P42" s="26">
        <f t="shared" si="43"/>
        <v>2.0069051477540079</v>
      </c>
      <c r="Q42" s="58">
        <f t="shared" si="44"/>
        <v>17</v>
      </c>
      <c r="R42" s="57">
        <f t="shared" si="45"/>
        <v>6</v>
      </c>
      <c r="S42" s="57">
        <f t="shared" si="46"/>
        <v>2</v>
      </c>
      <c r="T42" s="57">
        <v>1</v>
      </c>
      <c r="U42" s="57">
        <v>0</v>
      </c>
      <c r="V42" s="57">
        <v>0</v>
      </c>
      <c r="W42" s="57">
        <v>3</v>
      </c>
      <c r="X42" s="57">
        <f t="shared" si="12"/>
        <v>3</v>
      </c>
      <c r="Y42" s="57">
        <v>8</v>
      </c>
      <c r="Z42" s="57">
        <f t="shared" si="13"/>
        <v>4</v>
      </c>
      <c r="AA42" s="60">
        <f t="shared" si="14"/>
        <v>1.3</v>
      </c>
      <c r="AB42" s="38">
        <f t="shared" si="33"/>
        <v>0.75275043427909671</v>
      </c>
      <c r="AC42" s="38">
        <f t="shared" si="19"/>
        <v>0.51308363263211909</v>
      </c>
      <c r="AD42" s="4">
        <f t="shared" ca="1" si="47"/>
        <v>5</v>
      </c>
      <c r="AE42" s="38">
        <f t="shared" si="23"/>
        <v>0.43333333333333335</v>
      </c>
      <c r="AF42" s="4">
        <f t="shared" ca="1" si="48"/>
        <v>5.08</v>
      </c>
      <c r="AG42" s="8">
        <f>1+MATCH($B42,'Lead Tables'!$A:$A,0)</f>
        <v>8</v>
      </c>
      <c r="AH42" s="4" t="str">
        <f>ADDRESS($AG42,1,TRUE,TRUE,"Lead Tables")&amp;":"&amp;ADDRESS($AG42+3,COLUMN('Lead Tables'!$K:$K),TRUE,TRUE)</f>
        <v>'Lead Tables'!$A$8:$K$11</v>
      </c>
      <c r="AI42" s="4" t="str">
        <f>ADDRESS($AG42,1,TRUE,TRUE,"Lead Tables")&amp;":"&amp;ADDRESS($AG42,COLUMN('Lead Tables'!$K:$K),TRUE,TRUE)</f>
        <v>'Lead Tables'!$A$8:$K$8</v>
      </c>
      <c r="AJ42" s="64">
        <v>0.1</v>
      </c>
      <c r="AK42">
        <f t="shared" si="35"/>
        <v>1</v>
      </c>
      <c r="AP42"/>
    </row>
    <row r="43" spans="1:42">
      <c r="A43" s="2" t="str">
        <f t="shared" si="34"/>
        <v>Jamicon R-13.0x35.0</v>
      </c>
      <c r="B43" s="35" t="s">
        <v>47</v>
      </c>
      <c r="C43" s="6" t="s">
        <v>59</v>
      </c>
      <c r="D43" s="6" t="s">
        <v>130</v>
      </c>
      <c r="E43" s="7">
        <v>0.5</v>
      </c>
      <c r="F43" s="7">
        <v>2</v>
      </c>
      <c r="G43" s="7">
        <v>0.3</v>
      </c>
      <c r="H43" s="7">
        <v>20.7</v>
      </c>
      <c r="I43" s="31">
        <f t="shared" si="36"/>
        <v>12.5</v>
      </c>
      <c r="J43" s="31">
        <f t="shared" si="37"/>
        <v>35</v>
      </c>
      <c r="K43" s="37">
        <f t="shared" ca="1" si="38"/>
        <v>200</v>
      </c>
      <c r="L43" s="4">
        <f t="shared" si="39"/>
        <v>26.299999999999997</v>
      </c>
      <c r="M43" s="4">
        <f t="shared" ca="1" si="40"/>
        <v>0.6</v>
      </c>
      <c r="N43" s="4">
        <f t="shared" si="41"/>
        <v>0.2</v>
      </c>
      <c r="O43" s="26">
        <f t="shared" si="42"/>
        <v>2.7437927893591403</v>
      </c>
      <c r="P43" s="26">
        <f t="shared" si="43"/>
        <v>2.0069051477540079</v>
      </c>
      <c r="Q43" s="58">
        <f t="shared" si="44"/>
        <v>17</v>
      </c>
      <c r="R43" s="57">
        <f t="shared" si="45"/>
        <v>6</v>
      </c>
      <c r="S43" s="57">
        <f t="shared" si="46"/>
        <v>2</v>
      </c>
      <c r="T43" s="57">
        <v>1</v>
      </c>
      <c r="U43" s="57">
        <v>0</v>
      </c>
      <c r="V43" s="57">
        <v>0</v>
      </c>
      <c r="W43" s="57">
        <v>3</v>
      </c>
      <c r="X43" s="57">
        <f t="shared" si="12"/>
        <v>3</v>
      </c>
      <c r="Y43" s="57">
        <v>8</v>
      </c>
      <c r="Z43" s="57">
        <f t="shared" si="13"/>
        <v>4</v>
      </c>
      <c r="AA43" s="60">
        <f t="shared" si="14"/>
        <v>1.3</v>
      </c>
      <c r="AB43" s="38">
        <f t="shared" si="33"/>
        <v>0.75275043427909671</v>
      </c>
      <c r="AC43" s="38">
        <f t="shared" si="19"/>
        <v>0.51308363263211909</v>
      </c>
      <c r="AD43" s="4">
        <f t="shared" ca="1" si="47"/>
        <v>5</v>
      </c>
      <c r="AE43" s="38">
        <f t="shared" si="23"/>
        <v>0.43333333333333335</v>
      </c>
      <c r="AF43" s="4">
        <f t="shared" ca="1" si="48"/>
        <v>5.08</v>
      </c>
      <c r="AG43" s="8">
        <f>1+MATCH($B43,'Lead Tables'!$A:$A,0)</f>
        <v>8</v>
      </c>
      <c r="AH43" s="4" t="str">
        <f>ADDRESS($AG43,1,TRUE,TRUE,"Lead Tables")&amp;":"&amp;ADDRESS($AG43+3,COLUMN('Lead Tables'!$K:$K),TRUE,TRUE)</f>
        <v>'Lead Tables'!$A$8:$K$11</v>
      </c>
      <c r="AI43" s="4" t="str">
        <f>ADDRESS($AG43,1,TRUE,TRUE,"Lead Tables")&amp;":"&amp;ADDRESS($AG43,COLUMN('Lead Tables'!$K:$K),TRUE,TRUE)</f>
        <v>'Lead Tables'!$A$8:$K$8</v>
      </c>
      <c r="AJ43" s="64">
        <v>0.1</v>
      </c>
      <c r="AK43">
        <f t="shared" si="35"/>
        <v>1</v>
      </c>
      <c r="AP43"/>
    </row>
    <row r="44" spans="1:42">
      <c r="A44" s="2" t="str">
        <f t="shared" si="34"/>
        <v>Jamicon R-13.0x40.0</v>
      </c>
      <c r="B44" s="35" t="s">
        <v>47</v>
      </c>
      <c r="C44" s="6" t="s">
        <v>59</v>
      </c>
      <c r="D44" s="6" t="s">
        <v>131</v>
      </c>
      <c r="E44" s="7">
        <v>0.5</v>
      </c>
      <c r="F44" s="7">
        <v>2</v>
      </c>
      <c r="G44" s="7">
        <v>0.3</v>
      </c>
      <c r="H44" s="7">
        <v>20.7</v>
      </c>
      <c r="I44" s="31">
        <f t="shared" si="36"/>
        <v>12.5</v>
      </c>
      <c r="J44" s="31">
        <f t="shared" si="37"/>
        <v>40</v>
      </c>
      <c r="K44" s="37">
        <f t="shared" ca="1" si="38"/>
        <v>200</v>
      </c>
      <c r="L44" s="4">
        <f t="shared" si="39"/>
        <v>26.299999999999997</v>
      </c>
      <c r="M44" s="4">
        <f t="shared" ca="1" si="40"/>
        <v>0.6</v>
      </c>
      <c r="N44" s="4">
        <f t="shared" si="41"/>
        <v>0.2</v>
      </c>
      <c r="O44" s="26">
        <f t="shared" si="42"/>
        <v>2.7437927893591403</v>
      </c>
      <c r="P44" s="26">
        <f t="shared" si="43"/>
        <v>2.0069051477540079</v>
      </c>
      <c r="Q44" s="58">
        <f t="shared" si="44"/>
        <v>17</v>
      </c>
      <c r="R44" s="57">
        <f t="shared" si="45"/>
        <v>6</v>
      </c>
      <c r="S44" s="57">
        <f t="shared" si="46"/>
        <v>2</v>
      </c>
      <c r="T44" s="57">
        <v>1</v>
      </c>
      <c r="U44" s="57">
        <v>0</v>
      </c>
      <c r="V44" s="57">
        <v>0</v>
      </c>
      <c r="W44" s="57">
        <v>3</v>
      </c>
      <c r="X44" s="57">
        <f t="shared" si="12"/>
        <v>3</v>
      </c>
      <c r="Y44" s="57">
        <v>8</v>
      </c>
      <c r="Z44" s="57">
        <f t="shared" si="13"/>
        <v>4</v>
      </c>
      <c r="AA44" s="60">
        <f t="shared" si="14"/>
        <v>1.3</v>
      </c>
      <c r="AB44" s="38">
        <f t="shared" si="33"/>
        <v>0.75275043427909671</v>
      </c>
      <c r="AC44" s="38">
        <f t="shared" si="19"/>
        <v>0.51308363263211909</v>
      </c>
      <c r="AD44" s="4">
        <f t="shared" ca="1" si="47"/>
        <v>5</v>
      </c>
      <c r="AE44" s="38">
        <f t="shared" si="23"/>
        <v>0.43333333333333335</v>
      </c>
      <c r="AF44" s="4">
        <f t="shared" ca="1" si="48"/>
        <v>5.08</v>
      </c>
      <c r="AG44" s="8">
        <f>1+MATCH($B44,'Lead Tables'!$A:$A,0)</f>
        <v>8</v>
      </c>
      <c r="AH44" s="4" t="str">
        <f>ADDRESS($AG44,1,TRUE,TRUE,"Lead Tables")&amp;":"&amp;ADDRESS($AG44+3,COLUMN('Lead Tables'!$K:$K),TRUE,TRUE)</f>
        <v>'Lead Tables'!$A$8:$K$11</v>
      </c>
      <c r="AI44" s="4" t="str">
        <f>ADDRESS($AG44,1,TRUE,TRUE,"Lead Tables")&amp;":"&amp;ADDRESS($AG44,COLUMN('Lead Tables'!$K:$K),TRUE,TRUE)</f>
        <v>'Lead Tables'!$A$8:$K$8</v>
      </c>
      <c r="AJ44" s="64">
        <v>0.1</v>
      </c>
      <c r="AK44">
        <f t="shared" si="35"/>
        <v>1</v>
      </c>
      <c r="AP44"/>
    </row>
    <row r="45" spans="1:42">
      <c r="A45" s="2" t="str">
        <f t="shared" si="34"/>
        <v>Jamicon R-16.0x15.0</v>
      </c>
      <c r="B45" s="35" t="s">
        <v>47</v>
      </c>
      <c r="C45" s="6" t="s">
        <v>59</v>
      </c>
      <c r="D45" s="6" t="s">
        <v>126</v>
      </c>
      <c r="E45" s="7">
        <v>0.5</v>
      </c>
      <c r="F45" s="7">
        <v>2</v>
      </c>
      <c r="G45" s="7">
        <v>0.3</v>
      </c>
      <c r="H45" s="7">
        <v>20.7</v>
      </c>
      <c r="I45" s="31">
        <f t="shared" si="36"/>
        <v>16</v>
      </c>
      <c r="J45" s="31">
        <f t="shared" si="37"/>
        <v>15</v>
      </c>
      <c r="K45" s="37">
        <f t="shared" ca="1" si="38"/>
        <v>300</v>
      </c>
      <c r="L45" s="4">
        <f t="shared" si="39"/>
        <v>26.299999999999997</v>
      </c>
      <c r="M45" s="4">
        <f t="shared" ca="1" si="40"/>
        <v>0.8</v>
      </c>
      <c r="N45" s="4">
        <f t="shared" si="41"/>
        <v>0.2</v>
      </c>
      <c r="O45" s="26">
        <f t="shared" si="42"/>
        <v>3.6795964541227693</v>
      </c>
      <c r="P45" s="26">
        <f t="shared" si="43"/>
        <v>2.1463664626523471</v>
      </c>
      <c r="Q45" s="58">
        <f t="shared" si="44"/>
        <v>17</v>
      </c>
      <c r="R45" s="57">
        <f t="shared" si="45"/>
        <v>6</v>
      </c>
      <c r="S45" s="57">
        <f t="shared" si="46"/>
        <v>2</v>
      </c>
      <c r="T45" s="57">
        <v>1</v>
      </c>
      <c r="U45" s="57">
        <v>0</v>
      </c>
      <c r="V45" s="57">
        <v>0</v>
      </c>
      <c r="W45" s="57">
        <v>3</v>
      </c>
      <c r="X45" s="57">
        <f t="shared" si="12"/>
        <v>3</v>
      </c>
      <c r="Y45" s="57">
        <v>8</v>
      </c>
      <c r="Z45" s="57">
        <f t="shared" si="13"/>
        <v>4</v>
      </c>
      <c r="AA45" s="60">
        <f t="shared" si="14"/>
        <v>2.8</v>
      </c>
      <c r="AB45" s="38">
        <f t="shared" si="33"/>
        <v>1.6213086276780542</v>
      </c>
      <c r="AC45" s="38">
        <f t="shared" si="19"/>
        <v>0.53846153846153844</v>
      </c>
      <c r="AD45" s="4">
        <f t="shared" ca="1" si="47"/>
        <v>7.5</v>
      </c>
      <c r="AE45" s="38">
        <f t="shared" si="23"/>
        <v>0.93333333333333324</v>
      </c>
      <c r="AF45" s="4">
        <f t="shared" ca="1" si="48"/>
        <v>7.6199999999999992</v>
      </c>
      <c r="AG45" s="8">
        <f>1+MATCH($B45,'Lead Tables'!$A:$A,0)</f>
        <v>8</v>
      </c>
      <c r="AH45" s="4" t="str">
        <f>ADDRESS($AG45,1,TRUE,TRUE,"Lead Tables")&amp;":"&amp;ADDRESS($AG45+3,COLUMN('Lead Tables'!$K:$K),TRUE,TRUE)</f>
        <v>'Lead Tables'!$A$8:$K$11</v>
      </c>
      <c r="AI45" s="4" t="str">
        <f>ADDRESS($AG45,1,TRUE,TRUE,"Lead Tables")&amp;":"&amp;ADDRESS($AG45,COLUMN('Lead Tables'!$K:$K),TRUE,TRUE)</f>
        <v>'Lead Tables'!$A$8:$K$8</v>
      </c>
      <c r="AJ45" s="64">
        <v>0.1</v>
      </c>
      <c r="AK45">
        <f t="shared" si="35"/>
        <v>1</v>
      </c>
      <c r="AP45"/>
    </row>
    <row r="46" spans="1:42">
      <c r="A46" s="2" t="str">
        <f t="shared" si="34"/>
        <v>Jamicon R-16.0x20.0</v>
      </c>
      <c r="B46" s="35" t="s">
        <v>47</v>
      </c>
      <c r="C46" s="6" t="s">
        <v>59</v>
      </c>
      <c r="D46" s="6" t="s">
        <v>129</v>
      </c>
      <c r="E46" s="7">
        <v>0.5</v>
      </c>
      <c r="F46" s="7">
        <v>2</v>
      </c>
      <c r="G46" s="7">
        <v>0.3</v>
      </c>
      <c r="H46" s="7">
        <v>20.7</v>
      </c>
      <c r="I46" s="31">
        <f t="shared" si="36"/>
        <v>16</v>
      </c>
      <c r="J46" s="31">
        <f t="shared" si="37"/>
        <v>20</v>
      </c>
      <c r="K46" s="37">
        <f t="shared" ca="1" si="38"/>
        <v>300</v>
      </c>
      <c r="L46" s="4">
        <f t="shared" si="39"/>
        <v>26.299999999999997</v>
      </c>
      <c r="M46" s="4">
        <f t="shared" ca="1" si="40"/>
        <v>0.8</v>
      </c>
      <c r="N46" s="4">
        <f t="shared" si="41"/>
        <v>0.2</v>
      </c>
      <c r="O46" s="26">
        <f t="shared" si="42"/>
        <v>3.6795964541227693</v>
      </c>
      <c r="P46" s="26">
        <f t="shared" si="43"/>
        <v>2.1463664626523471</v>
      </c>
      <c r="Q46" s="58">
        <f t="shared" si="44"/>
        <v>17</v>
      </c>
      <c r="R46" s="57">
        <f t="shared" si="45"/>
        <v>6</v>
      </c>
      <c r="S46" s="57">
        <f t="shared" si="46"/>
        <v>2</v>
      </c>
      <c r="T46" s="57">
        <v>1</v>
      </c>
      <c r="U46" s="57">
        <v>0</v>
      </c>
      <c r="V46" s="57">
        <v>0</v>
      </c>
      <c r="W46" s="57">
        <v>3</v>
      </c>
      <c r="X46" s="57">
        <f t="shared" si="12"/>
        <v>3</v>
      </c>
      <c r="Y46" s="57">
        <v>8</v>
      </c>
      <c r="Z46" s="57">
        <f t="shared" si="13"/>
        <v>4</v>
      </c>
      <c r="AA46" s="60">
        <f t="shared" si="14"/>
        <v>2.8</v>
      </c>
      <c r="AB46" s="38">
        <f t="shared" si="33"/>
        <v>1.6213086276780542</v>
      </c>
      <c r="AC46" s="38">
        <f t="shared" si="19"/>
        <v>0.53846153846153844</v>
      </c>
      <c r="AD46" s="4">
        <f t="shared" ca="1" si="47"/>
        <v>7.5</v>
      </c>
      <c r="AE46" s="38">
        <f t="shared" si="23"/>
        <v>0.93333333333333324</v>
      </c>
      <c r="AF46" s="4">
        <f t="shared" ca="1" si="48"/>
        <v>7.6199999999999992</v>
      </c>
      <c r="AG46" s="8">
        <f>1+MATCH($B46,'Lead Tables'!$A:$A,0)</f>
        <v>8</v>
      </c>
      <c r="AH46" s="4" t="str">
        <f>ADDRESS($AG46,1,TRUE,TRUE,"Lead Tables")&amp;":"&amp;ADDRESS($AG46+3,COLUMN('Lead Tables'!$K:$K),TRUE,TRUE)</f>
        <v>'Lead Tables'!$A$8:$K$11</v>
      </c>
      <c r="AI46" s="4" t="str">
        <f>ADDRESS($AG46,1,TRUE,TRUE,"Lead Tables")&amp;":"&amp;ADDRESS($AG46,COLUMN('Lead Tables'!$K:$K),TRUE,TRUE)</f>
        <v>'Lead Tables'!$A$8:$K$8</v>
      </c>
      <c r="AJ46" s="64">
        <v>0.1</v>
      </c>
      <c r="AK46">
        <f t="shared" si="35"/>
        <v>1</v>
      </c>
      <c r="AP46"/>
    </row>
    <row r="47" spans="1:42">
      <c r="A47" s="2" t="str">
        <f t="shared" si="34"/>
        <v>Jamicon R-16.0x25.0</v>
      </c>
      <c r="B47" s="35" t="s">
        <v>47</v>
      </c>
      <c r="C47" s="6" t="s">
        <v>59</v>
      </c>
      <c r="D47" s="6" t="s">
        <v>97</v>
      </c>
      <c r="E47" s="7">
        <v>0.5</v>
      </c>
      <c r="F47" s="7">
        <v>2</v>
      </c>
      <c r="G47" s="7">
        <v>0.3</v>
      </c>
      <c r="H47" s="7">
        <v>20.7</v>
      </c>
      <c r="I47" s="31">
        <f t="shared" si="36"/>
        <v>16</v>
      </c>
      <c r="J47" s="31">
        <f t="shared" si="37"/>
        <v>25</v>
      </c>
      <c r="K47" s="37">
        <f t="shared" ca="1" si="38"/>
        <v>300</v>
      </c>
      <c r="L47" s="4">
        <f t="shared" si="39"/>
        <v>26.299999999999997</v>
      </c>
      <c r="M47" s="4">
        <f t="shared" ca="1" si="40"/>
        <v>0.8</v>
      </c>
      <c r="N47" s="4">
        <f t="shared" si="41"/>
        <v>0.2</v>
      </c>
      <c r="O47" s="26">
        <f t="shared" si="42"/>
        <v>3.6795964541227693</v>
      </c>
      <c r="P47" s="26">
        <f t="shared" si="43"/>
        <v>2.1463664626523471</v>
      </c>
      <c r="Q47" s="58">
        <f t="shared" si="44"/>
        <v>17</v>
      </c>
      <c r="R47" s="57">
        <f t="shared" si="45"/>
        <v>6</v>
      </c>
      <c r="S47" s="57">
        <f t="shared" si="46"/>
        <v>2</v>
      </c>
      <c r="T47" s="57">
        <v>1</v>
      </c>
      <c r="U47" s="57">
        <v>0</v>
      </c>
      <c r="V47" s="57">
        <v>0</v>
      </c>
      <c r="W47" s="57">
        <v>3</v>
      </c>
      <c r="X47" s="57">
        <f t="shared" si="12"/>
        <v>3</v>
      </c>
      <c r="Y47" s="57">
        <v>8</v>
      </c>
      <c r="Z47" s="57">
        <f t="shared" si="13"/>
        <v>4</v>
      </c>
      <c r="AA47" s="60">
        <f t="shared" si="14"/>
        <v>2.8</v>
      </c>
      <c r="AB47" s="38">
        <f t="shared" si="33"/>
        <v>1.6213086276780542</v>
      </c>
      <c r="AC47" s="38">
        <f t="shared" si="19"/>
        <v>0.53846153846153844</v>
      </c>
      <c r="AD47" s="4">
        <f t="shared" ca="1" si="47"/>
        <v>7.5</v>
      </c>
      <c r="AE47" s="38">
        <f t="shared" si="23"/>
        <v>0.93333333333333324</v>
      </c>
      <c r="AF47" s="4">
        <f t="shared" ca="1" si="48"/>
        <v>7.6199999999999992</v>
      </c>
      <c r="AG47" s="8">
        <f>1+MATCH($B47,'Lead Tables'!$A:$A,0)</f>
        <v>8</v>
      </c>
      <c r="AH47" s="4" t="str">
        <f>ADDRESS($AG47,1,TRUE,TRUE,"Lead Tables")&amp;":"&amp;ADDRESS($AG47+3,COLUMN('Lead Tables'!$K:$K),TRUE,TRUE)</f>
        <v>'Lead Tables'!$A$8:$K$11</v>
      </c>
      <c r="AI47" s="4" t="str">
        <f>ADDRESS($AG47,1,TRUE,TRUE,"Lead Tables")&amp;":"&amp;ADDRESS($AG47,COLUMN('Lead Tables'!$K:$K),TRUE,TRUE)</f>
        <v>'Lead Tables'!$A$8:$K$8</v>
      </c>
      <c r="AJ47" s="64">
        <v>0.1</v>
      </c>
      <c r="AK47">
        <f t="shared" si="35"/>
        <v>1</v>
      </c>
      <c r="AP47"/>
    </row>
    <row r="48" spans="1:42">
      <c r="A48" s="2" t="str">
        <f t="shared" si="34"/>
        <v>Jamicon R-16.0x32.0</v>
      </c>
      <c r="B48" s="35" t="s">
        <v>47</v>
      </c>
      <c r="C48" s="6" t="s">
        <v>59</v>
      </c>
      <c r="D48" s="6" t="s">
        <v>98</v>
      </c>
      <c r="E48" s="7">
        <v>0.5</v>
      </c>
      <c r="F48" s="7">
        <v>2</v>
      </c>
      <c r="G48" s="7">
        <v>0.3</v>
      </c>
      <c r="H48" s="7">
        <v>20.7</v>
      </c>
      <c r="I48" s="31">
        <f t="shared" si="36"/>
        <v>16</v>
      </c>
      <c r="J48" s="31">
        <f t="shared" si="37"/>
        <v>31.5</v>
      </c>
      <c r="K48" s="37">
        <f t="shared" ca="1" si="38"/>
        <v>300</v>
      </c>
      <c r="L48" s="4">
        <f t="shared" si="39"/>
        <v>26.299999999999997</v>
      </c>
      <c r="M48" s="4">
        <f t="shared" ca="1" si="40"/>
        <v>0.8</v>
      </c>
      <c r="N48" s="4">
        <f t="shared" si="41"/>
        <v>0.2</v>
      </c>
      <c r="O48" s="26">
        <f t="shared" si="42"/>
        <v>3.6795964541227693</v>
      </c>
      <c r="P48" s="26">
        <f t="shared" si="43"/>
        <v>2.1463664626523471</v>
      </c>
      <c r="Q48" s="58">
        <f t="shared" si="44"/>
        <v>17</v>
      </c>
      <c r="R48" s="57">
        <f t="shared" si="45"/>
        <v>6</v>
      </c>
      <c r="S48" s="57">
        <f t="shared" si="46"/>
        <v>2</v>
      </c>
      <c r="T48" s="57">
        <v>1</v>
      </c>
      <c r="U48" s="57">
        <v>0</v>
      </c>
      <c r="V48" s="57">
        <v>0</v>
      </c>
      <c r="W48" s="57">
        <v>3</v>
      </c>
      <c r="X48" s="57">
        <f t="shared" si="12"/>
        <v>3</v>
      </c>
      <c r="Y48" s="57">
        <v>8</v>
      </c>
      <c r="Z48" s="57">
        <f t="shared" si="13"/>
        <v>4</v>
      </c>
      <c r="AA48" s="60">
        <f t="shared" si="14"/>
        <v>2.8</v>
      </c>
      <c r="AB48" s="38">
        <f t="shared" si="33"/>
        <v>1.6213086276780542</v>
      </c>
      <c r="AC48" s="38">
        <f t="shared" si="19"/>
        <v>0.53846153846153844</v>
      </c>
      <c r="AD48" s="4">
        <f t="shared" ca="1" si="47"/>
        <v>7.5</v>
      </c>
      <c r="AE48" s="38">
        <f t="shared" si="23"/>
        <v>0.93333333333333324</v>
      </c>
      <c r="AF48" s="4">
        <f t="shared" ca="1" si="48"/>
        <v>7.6199999999999992</v>
      </c>
      <c r="AG48" s="8">
        <f>1+MATCH($B48,'Lead Tables'!$A:$A,0)</f>
        <v>8</v>
      </c>
      <c r="AH48" s="4" t="str">
        <f>ADDRESS($AG48,1,TRUE,TRUE,"Lead Tables")&amp;":"&amp;ADDRESS($AG48+3,COLUMN('Lead Tables'!$K:$K),TRUE,TRUE)</f>
        <v>'Lead Tables'!$A$8:$K$11</v>
      </c>
      <c r="AI48" s="4" t="str">
        <f>ADDRESS($AG48,1,TRUE,TRUE,"Lead Tables")&amp;":"&amp;ADDRESS($AG48,COLUMN('Lead Tables'!$K:$K),TRUE,TRUE)</f>
        <v>'Lead Tables'!$A$8:$K$8</v>
      </c>
      <c r="AJ48" s="64">
        <v>0.1</v>
      </c>
      <c r="AK48">
        <f t="shared" si="35"/>
        <v>1</v>
      </c>
      <c r="AP48"/>
    </row>
    <row r="49" spans="1:42">
      <c r="A49" s="2" t="str">
        <f t="shared" si="34"/>
        <v>Jamicon R-16.0x36.0</v>
      </c>
      <c r="B49" s="35" t="s">
        <v>47</v>
      </c>
      <c r="C49" s="6" t="s">
        <v>59</v>
      </c>
      <c r="D49" s="6" t="s">
        <v>99</v>
      </c>
      <c r="E49" s="7">
        <v>0.5</v>
      </c>
      <c r="F49" s="7">
        <v>2</v>
      </c>
      <c r="G49" s="7">
        <v>0.3</v>
      </c>
      <c r="H49" s="7">
        <v>20.7</v>
      </c>
      <c r="I49" s="31">
        <f t="shared" si="36"/>
        <v>16</v>
      </c>
      <c r="J49" s="31">
        <f t="shared" si="37"/>
        <v>35.5</v>
      </c>
      <c r="K49" s="37">
        <f t="shared" ca="1" si="38"/>
        <v>300</v>
      </c>
      <c r="L49" s="4">
        <f t="shared" si="39"/>
        <v>26.299999999999997</v>
      </c>
      <c r="M49" s="4">
        <f t="shared" ca="1" si="40"/>
        <v>0.8</v>
      </c>
      <c r="N49" s="4">
        <f t="shared" si="41"/>
        <v>0.2</v>
      </c>
      <c r="O49" s="26">
        <f t="shared" si="42"/>
        <v>3.6795964541227693</v>
      </c>
      <c r="P49" s="26">
        <f t="shared" si="43"/>
        <v>2.1463664626523471</v>
      </c>
      <c r="Q49" s="58">
        <f t="shared" si="44"/>
        <v>17</v>
      </c>
      <c r="R49" s="57">
        <f t="shared" si="45"/>
        <v>6</v>
      </c>
      <c r="S49" s="57">
        <f t="shared" si="46"/>
        <v>2</v>
      </c>
      <c r="T49" s="57">
        <v>1</v>
      </c>
      <c r="U49" s="57">
        <v>0</v>
      </c>
      <c r="V49" s="57">
        <v>0</v>
      </c>
      <c r="W49" s="57">
        <v>3</v>
      </c>
      <c r="X49" s="57">
        <f t="shared" si="12"/>
        <v>3</v>
      </c>
      <c r="Y49" s="57">
        <v>8</v>
      </c>
      <c r="Z49" s="57">
        <f t="shared" si="13"/>
        <v>4</v>
      </c>
      <c r="AA49" s="60">
        <f t="shared" si="14"/>
        <v>2.8</v>
      </c>
      <c r="AB49" s="38">
        <f t="shared" si="33"/>
        <v>1.6213086276780542</v>
      </c>
      <c r="AC49" s="38">
        <f t="shared" si="19"/>
        <v>0.53846153846153844</v>
      </c>
      <c r="AD49" s="4">
        <f t="shared" ca="1" si="47"/>
        <v>7.5</v>
      </c>
      <c r="AE49" s="38">
        <f t="shared" si="23"/>
        <v>0.93333333333333324</v>
      </c>
      <c r="AF49" s="4">
        <f t="shared" ca="1" si="48"/>
        <v>7.6199999999999992</v>
      </c>
      <c r="AG49" s="8">
        <f>1+MATCH($B49,'Lead Tables'!$A:$A,0)</f>
        <v>8</v>
      </c>
      <c r="AH49" s="4" t="str">
        <f>ADDRESS($AG49,1,TRUE,TRUE,"Lead Tables")&amp;":"&amp;ADDRESS($AG49+3,COLUMN('Lead Tables'!$K:$K),TRUE,TRUE)</f>
        <v>'Lead Tables'!$A$8:$K$11</v>
      </c>
      <c r="AI49" s="4" t="str">
        <f>ADDRESS($AG49,1,TRUE,TRUE,"Lead Tables")&amp;":"&amp;ADDRESS($AG49,COLUMN('Lead Tables'!$K:$K),TRUE,TRUE)</f>
        <v>'Lead Tables'!$A$8:$K$8</v>
      </c>
      <c r="AJ49" s="64">
        <v>0.1</v>
      </c>
      <c r="AK49">
        <f t="shared" si="35"/>
        <v>1</v>
      </c>
      <c r="AP49"/>
    </row>
    <row r="50" spans="1:42">
      <c r="A50" s="2" t="str">
        <f t="shared" si="34"/>
        <v>Jamicon R-18.0x15.0</v>
      </c>
      <c r="B50" s="35" t="s">
        <v>47</v>
      </c>
      <c r="C50" s="6" t="s">
        <v>59</v>
      </c>
      <c r="D50" s="6" t="s">
        <v>127</v>
      </c>
      <c r="E50" s="7">
        <v>0.5</v>
      </c>
      <c r="F50" s="7">
        <v>2</v>
      </c>
      <c r="G50" s="7">
        <v>0.3</v>
      </c>
      <c r="H50" s="7">
        <v>20.7</v>
      </c>
      <c r="I50" s="31">
        <f t="shared" si="36"/>
        <v>18</v>
      </c>
      <c r="J50" s="31">
        <f t="shared" si="37"/>
        <v>15</v>
      </c>
      <c r="K50" s="37">
        <f t="shared" ca="1" si="38"/>
        <v>300</v>
      </c>
      <c r="L50" s="4">
        <f t="shared" si="39"/>
        <v>26.299999999999997</v>
      </c>
      <c r="M50" s="4">
        <f t="shared" ca="1" si="40"/>
        <v>0.8</v>
      </c>
      <c r="N50" s="4">
        <f t="shared" si="41"/>
        <v>0.2</v>
      </c>
      <c r="O50" s="26">
        <f t="shared" si="42"/>
        <v>4.2253166533505979</v>
      </c>
      <c r="P50" s="26">
        <f t="shared" si="43"/>
        <v>2.2954807240164783</v>
      </c>
      <c r="Q50" s="58">
        <f t="shared" si="44"/>
        <v>17</v>
      </c>
      <c r="R50" s="57">
        <f t="shared" si="45"/>
        <v>6</v>
      </c>
      <c r="S50" s="57">
        <f t="shared" si="46"/>
        <v>2</v>
      </c>
      <c r="T50" s="57">
        <v>1</v>
      </c>
      <c r="U50" s="57">
        <v>0</v>
      </c>
      <c r="V50" s="57">
        <v>0</v>
      </c>
      <c r="W50" s="57">
        <v>3</v>
      </c>
      <c r="X50" s="57">
        <f t="shared" si="12"/>
        <v>3</v>
      </c>
      <c r="Y50" s="57">
        <v>8</v>
      </c>
      <c r="Z50" s="57">
        <f t="shared" si="13"/>
        <v>4</v>
      </c>
      <c r="AA50" s="60">
        <f t="shared" si="14"/>
        <v>3</v>
      </c>
      <c r="AB50" s="38">
        <f t="shared" si="33"/>
        <v>1.7371163867979154</v>
      </c>
      <c r="AC50" s="38">
        <f t="shared" si="19"/>
        <v>0.53846153846153844</v>
      </c>
      <c r="AD50" s="4">
        <f t="shared" ca="1" si="47"/>
        <v>7.5</v>
      </c>
      <c r="AE50" s="38">
        <f t="shared" si="23"/>
        <v>1</v>
      </c>
      <c r="AF50" s="4">
        <f t="shared" ca="1" si="48"/>
        <v>7.6199999999999992</v>
      </c>
      <c r="AG50" s="8">
        <f>1+MATCH($B50,'Lead Tables'!$A:$A,0)</f>
        <v>8</v>
      </c>
      <c r="AH50" s="4" t="str">
        <f>ADDRESS($AG50,1,TRUE,TRUE,"Lead Tables")&amp;":"&amp;ADDRESS($AG50+3,COLUMN('Lead Tables'!$K:$K),TRUE,TRUE)</f>
        <v>'Lead Tables'!$A$8:$K$11</v>
      </c>
      <c r="AI50" s="4" t="str">
        <f>ADDRESS($AG50,1,TRUE,TRUE,"Lead Tables")&amp;":"&amp;ADDRESS($AG50,COLUMN('Lead Tables'!$K:$K),TRUE,TRUE)</f>
        <v>'Lead Tables'!$A$8:$K$8</v>
      </c>
      <c r="AJ50" s="64">
        <v>0.1</v>
      </c>
      <c r="AK50">
        <f t="shared" si="35"/>
        <v>1</v>
      </c>
      <c r="AP50"/>
    </row>
    <row r="51" spans="1:42">
      <c r="A51" s="2" t="str">
        <f t="shared" si="34"/>
        <v>Jamicon R-18.0x20.0</v>
      </c>
      <c r="B51" s="35" t="s">
        <v>47</v>
      </c>
      <c r="C51" s="6" t="s">
        <v>59</v>
      </c>
      <c r="D51" s="6" t="s">
        <v>132</v>
      </c>
      <c r="E51" s="7">
        <v>0.5</v>
      </c>
      <c r="F51" s="7">
        <v>2</v>
      </c>
      <c r="G51" s="7">
        <v>0.3</v>
      </c>
      <c r="H51" s="7">
        <v>20.7</v>
      </c>
      <c r="I51" s="31">
        <f t="shared" si="36"/>
        <v>18</v>
      </c>
      <c r="J51" s="31">
        <f t="shared" si="37"/>
        <v>20</v>
      </c>
      <c r="K51" s="37">
        <f t="shared" ca="1" si="38"/>
        <v>300</v>
      </c>
      <c r="L51" s="4">
        <f t="shared" si="39"/>
        <v>26.299999999999997</v>
      </c>
      <c r="M51" s="4">
        <f t="shared" ca="1" si="40"/>
        <v>0.8</v>
      </c>
      <c r="N51" s="4">
        <f t="shared" si="41"/>
        <v>0.2</v>
      </c>
      <c r="O51" s="26">
        <f t="shared" si="42"/>
        <v>4.2253166533505979</v>
      </c>
      <c r="P51" s="26">
        <f t="shared" si="43"/>
        <v>2.2954807240164783</v>
      </c>
      <c r="Q51" s="58">
        <f t="shared" si="44"/>
        <v>17</v>
      </c>
      <c r="R51" s="57">
        <f t="shared" si="45"/>
        <v>6</v>
      </c>
      <c r="S51" s="57">
        <f t="shared" si="46"/>
        <v>2</v>
      </c>
      <c r="T51" s="57">
        <v>1</v>
      </c>
      <c r="U51" s="57">
        <v>0</v>
      </c>
      <c r="V51" s="57">
        <v>0</v>
      </c>
      <c r="W51" s="57">
        <v>3</v>
      </c>
      <c r="X51" s="57">
        <f t="shared" si="12"/>
        <v>3</v>
      </c>
      <c r="Y51" s="57">
        <v>8</v>
      </c>
      <c r="Z51" s="57">
        <f t="shared" si="13"/>
        <v>4</v>
      </c>
      <c r="AA51" s="60">
        <f t="shared" si="14"/>
        <v>3</v>
      </c>
      <c r="AB51" s="38">
        <f t="shared" si="33"/>
        <v>1.7371163867979154</v>
      </c>
      <c r="AC51" s="38">
        <f t="shared" si="19"/>
        <v>0.53846153846153844</v>
      </c>
      <c r="AD51" s="4">
        <f t="shared" ca="1" si="47"/>
        <v>7.5</v>
      </c>
      <c r="AE51" s="38">
        <f t="shared" si="23"/>
        <v>1</v>
      </c>
      <c r="AF51" s="4">
        <f t="shared" ca="1" si="48"/>
        <v>7.6199999999999992</v>
      </c>
      <c r="AG51" s="8">
        <f>1+MATCH($B51,'Lead Tables'!$A:$A,0)</f>
        <v>8</v>
      </c>
      <c r="AH51" s="4" t="str">
        <f>ADDRESS($AG51,1,TRUE,TRUE,"Lead Tables")&amp;":"&amp;ADDRESS($AG51+3,COLUMN('Lead Tables'!$K:$K),TRUE,TRUE)</f>
        <v>'Lead Tables'!$A$8:$K$11</v>
      </c>
      <c r="AI51" s="4" t="str">
        <f>ADDRESS($AG51,1,TRUE,TRUE,"Lead Tables")&amp;":"&amp;ADDRESS($AG51,COLUMN('Lead Tables'!$K:$K),TRUE,TRUE)</f>
        <v>'Lead Tables'!$A$8:$K$8</v>
      </c>
      <c r="AJ51" s="64">
        <v>0.1</v>
      </c>
      <c r="AK51">
        <f t="shared" si="35"/>
        <v>1</v>
      </c>
      <c r="AP51"/>
    </row>
    <row r="52" spans="1:42">
      <c r="A52" s="2" t="str">
        <f t="shared" si="34"/>
        <v>Jamicon R-18.0x25.0</v>
      </c>
      <c r="B52" s="35" t="s">
        <v>47</v>
      </c>
      <c r="C52" s="6" t="s">
        <v>59</v>
      </c>
      <c r="D52" s="6" t="s">
        <v>133</v>
      </c>
      <c r="E52" s="7">
        <v>0.5</v>
      </c>
      <c r="F52" s="7">
        <v>2</v>
      </c>
      <c r="G52" s="7">
        <v>0.3</v>
      </c>
      <c r="H52" s="7">
        <v>20.7</v>
      </c>
      <c r="I52" s="31">
        <f t="shared" si="36"/>
        <v>18</v>
      </c>
      <c r="J52" s="31">
        <f t="shared" si="37"/>
        <v>25</v>
      </c>
      <c r="K52" s="37">
        <f t="shared" ca="1" si="38"/>
        <v>300</v>
      </c>
      <c r="L52" s="4">
        <f t="shared" si="39"/>
        <v>26.299999999999997</v>
      </c>
      <c r="M52" s="4">
        <f t="shared" ca="1" si="40"/>
        <v>0.8</v>
      </c>
      <c r="N52" s="4">
        <f t="shared" si="41"/>
        <v>0.2</v>
      </c>
      <c r="O52" s="26">
        <f t="shared" si="42"/>
        <v>4.2253166533505979</v>
      </c>
      <c r="P52" s="26">
        <f t="shared" si="43"/>
        <v>2.2954807240164783</v>
      </c>
      <c r="Q52" s="58">
        <f t="shared" si="44"/>
        <v>17</v>
      </c>
      <c r="R52" s="57">
        <f t="shared" si="45"/>
        <v>6</v>
      </c>
      <c r="S52" s="57">
        <f t="shared" si="46"/>
        <v>2</v>
      </c>
      <c r="T52" s="57">
        <v>1</v>
      </c>
      <c r="U52" s="57">
        <v>0</v>
      </c>
      <c r="V52" s="57">
        <v>0</v>
      </c>
      <c r="W52" s="57">
        <v>3</v>
      </c>
      <c r="X52" s="57">
        <f t="shared" si="12"/>
        <v>3</v>
      </c>
      <c r="Y52" s="57">
        <v>8</v>
      </c>
      <c r="Z52" s="57">
        <f t="shared" si="13"/>
        <v>4</v>
      </c>
      <c r="AA52" s="60">
        <f t="shared" si="14"/>
        <v>3</v>
      </c>
      <c r="AB52" s="38">
        <f t="shared" si="33"/>
        <v>1.7371163867979154</v>
      </c>
      <c r="AC52" s="38">
        <f t="shared" si="19"/>
        <v>0.53846153846153844</v>
      </c>
      <c r="AD52" s="4">
        <f t="shared" ca="1" si="47"/>
        <v>7.5</v>
      </c>
      <c r="AE52" s="38">
        <f t="shared" si="23"/>
        <v>1</v>
      </c>
      <c r="AF52" s="4">
        <f t="shared" ca="1" si="48"/>
        <v>7.6199999999999992</v>
      </c>
      <c r="AG52" s="8">
        <f>1+MATCH($B52,'Lead Tables'!$A:$A,0)</f>
        <v>8</v>
      </c>
      <c r="AH52" s="4" t="str">
        <f>ADDRESS($AG52,1,TRUE,TRUE,"Lead Tables")&amp;":"&amp;ADDRESS($AG52+3,COLUMN('Lead Tables'!$K:$K),TRUE,TRUE)</f>
        <v>'Lead Tables'!$A$8:$K$11</v>
      </c>
      <c r="AI52" s="4" t="str">
        <f>ADDRESS($AG52,1,TRUE,TRUE,"Lead Tables")&amp;":"&amp;ADDRESS($AG52,COLUMN('Lead Tables'!$K:$K),TRUE,TRUE)</f>
        <v>'Lead Tables'!$A$8:$K$8</v>
      </c>
      <c r="AJ52" s="64">
        <v>0.1</v>
      </c>
      <c r="AK52">
        <f t="shared" si="35"/>
        <v>1</v>
      </c>
      <c r="AP52"/>
    </row>
    <row r="53" spans="1:42">
      <c r="A53" s="2" t="str">
        <f t="shared" si="34"/>
        <v>Jamicon R-18.0x32.0</v>
      </c>
      <c r="B53" s="35" t="s">
        <v>47</v>
      </c>
      <c r="C53" s="6" t="s">
        <v>59</v>
      </c>
      <c r="D53" s="6" t="s">
        <v>134</v>
      </c>
      <c r="E53" s="7">
        <v>0.5</v>
      </c>
      <c r="F53" s="7">
        <v>2</v>
      </c>
      <c r="G53" s="7">
        <v>0.3</v>
      </c>
      <c r="H53" s="7">
        <v>20.7</v>
      </c>
      <c r="I53" s="31">
        <f t="shared" si="36"/>
        <v>18</v>
      </c>
      <c r="J53" s="31">
        <f t="shared" si="37"/>
        <v>31.5</v>
      </c>
      <c r="K53" s="37">
        <f t="shared" ca="1" si="38"/>
        <v>300</v>
      </c>
      <c r="L53" s="4">
        <f t="shared" si="39"/>
        <v>26.299999999999997</v>
      </c>
      <c r="M53" s="4">
        <f t="shared" ca="1" si="40"/>
        <v>0.8</v>
      </c>
      <c r="N53" s="4">
        <f t="shared" si="41"/>
        <v>0.2</v>
      </c>
      <c r="O53" s="26">
        <f t="shared" si="42"/>
        <v>4.2253166533505979</v>
      </c>
      <c r="P53" s="26">
        <f t="shared" si="43"/>
        <v>2.2954807240164783</v>
      </c>
      <c r="Q53" s="58">
        <f t="shared" si="44"/>
        <v>17</v>
      </c>
      <c r="R53" s="57">
        <f t="shared" si="45"/>
        <v>6</v>
      </c>
      <c r="S53" s="57">
        <f t="shared" si="46"/>
        <v>2</v>
      </c>
      <c r="T53" s="57">
        <v>1</v>
      </c>
      <c r="U53" s="57">
        <v>0</v>
      </c>
      <c r="V53" s="57">
        <v>0</v>
      </c>
      <c r="W53" s="57">
        <v>3</v>
      </c>
      <c r="X53" s="57">
        <f t="shared" si="12"/>
        <v>3</v>
      </c>
      <c r="Y53" s="57">
        <v>8</v>
      </c>
      <c r="Z53" s="57">
        <f t="shared" si="13"/>
        <v>4</v>
      </c>
      <c r="AA53" s="60">
        <f t="shared" si="14"/>
        <v>3</v>
      </c>
      <c r="AB53" s="38">
        <f t="shared" si="33"/>
        <v>1.7371163867979154</v>
      </c>
      <c r="AC53" s="38">
        <f t="shared" si="19"/>
        <v>0.53846153846153844</v>
      </c>
      <c r="AD53" s="4">
        <f t="shared" ca="1" si="47"/>
        <v>7.5</v>
      </c>
      <c r="AE53" s="38">
        <f t="shared" si="23"/>
        <v>1</v>
      </c>
      <c r="AF53" s="4">
        <f t="shared" ca="1" si="48"/>
        <v>7.6199999999999992</v>
      </c>
      <c r="AG53" s="8">
        <f>1+MATCH($B53,'Lead Tables'!$A:$A,0)</f>
        <v>8</v>
      </c>
      <c r="AH53" s="4" t="str">
        <f>ADDRESS($AG53,1,TRUE,TRUE,"Lead Tables")&amp;":"&amp;ADDRESS($AG53+3,COLUMN('Lead Tables'!$K:$K),TRUE,TRUE)</f>
        <v>'Lead Tables'!$A$8:$K$11</v>
      </c>
      <c r="AI53" s="4" t="str">
        <f>ADDRESS($AG53,1,TRUE,TRUE,"Lead Tables")&amp;":"&amp;ADDRESS($AG53,COLUMN('Lead Tables'!$K:$K),TRUE,TRUE)</f>
        <v>'Lead Tables'!$A$8:$K$8</v>
      </c>
      <c r="AJ53" s="64">
        <v>0.1</v>
      </c>
      <c r="AK53">
        <f t="shared" si="35"/>
        <v>1</v>
      </c>
      <c r="AP53"/>
    </row>
    <row r="54" spans="1:42">
      <c r="A54" s="2" t="str">
        <f t="shared" si="34"/>
        <v>Jamicon R-18.0x36.0</v>
      </c>
      <c r="B54" s="35" t="s">
        <v>47</v>
      </c>
      <c r="C54" s="6" t="s">
        <v>59</v>
      </c>
      <c r="D54" s="6" t="s">
        <v>100</v>
      </c>
      <c r="E54" s="7">
        <v>0.5</v>
      </c>
      <c r="F54" s="7">
        <v>2</v>
      </c>
      <c r="G54" s="7">
        <v>0.3</v>
      </c>
      <c r="H54" s="7">
        <v>20.7</v>
      </c>
      <c r="I54" s="31">
        <f t="shared" si="36"/>
        <v>18</v>
      </c>
      <c r="J54" s="31">
        <f t="shared" si="37"/>
        <v>35.5</v>
      </c>
      <c r="K54" s="37">
        <f t="shared" ca="1" si="38"/>
        <v>300</v>
      </c>
      <c r="L54" s="4">
        <f t="shared" si="39"/>
        <v>26.299999999999997</v>
      </c>
      <c r="M54" s="4">
        <f t="shared" ca="1" si="40"/>
        <v>0.8</v>
      </c>
      <c r="N54" s="4">
        <f t="shared" si="41"/>
        <v>0.2</v>
      </c>
      <c r="O54" s="26">
        <f t="shared" si="42"/>
        <v>4.2253166533505979</v>
      </c>
      <c r="P54" s="26">
        <f t="shared" si="43"/>
        <v>2.2954807240164783</v>
      </c>
      <c r="Q54" s="58">
        <f t="shared" si="44"/>
        <v>17</v>
      </c>
      <c r="R54" s="57">
        <f t="shared" si="45"/>
        <v>6</v>
      </c>
      <c r="S54" s="57">
        <f t="shared" si="46"/>
        <v>2</v>
      </c>
      <c r="T54" s="57">
        <v>1</v>
      </c>
      <c r="U54" s="57">
        <v>0</v>
      </c>
      <c r="V54" s="57">
        <v>0</v>
      </c>
      <c r="W54" s="57">
        <v>3</v>
      </c>
      <c r="X54" s="57">
        <f t="shared" si="12"/>
        <v>3</v>
      </c>
      <c r="Y54" s="57">
        <v>8</v>
      </c>
      <c r="Z54" s="57">
        <f t="shared" si="13"/>
        <v>4</v>
      </c>
      <c r="AA54" s="60">
        <f t="shared" si="14"/>
        <v>3</v>
      </c>
      <c r="AB54" s="38">
        <f t="shared" si="33"/>
        <v>1.7371163867979154</v>
      </c>
      <c r="AC54" s="38">
        <f t="shared" si="19"/>
        <v>0.53846153846153844</v>
      </c>
      <c r="AD54" s="4">
        <f t="shared" ca="1" si="47"/>
        <v>7.5</v>
      </c>
      <c r="AE54" s="38">
        <f t="shared" si="23"/>
        <v>1</v>
      </c>
      <c r="AF54" s="4">
        <f t="shared" ca="1" si="48"/>
        <v>7.6199999999999992</v>
      </c>
      <c r="AG54" s="8">
        <f>1+MATCH($B54,'Lead Tables'!$A:$A,0)</f>
        <v>8</v>
      </c>
      <c r="AH54" s="4" t="str">
        <f>ADDRESS($AG54,1,TRUE,TRUE,"Lead Tables")&amp;":"&amp;ADDRESS($AG54+3,COLUMN('Lead Tables'!$K:$K),TRUE,TRUE)</f>
        <v>'Lead Tables'!$A$8:$K$11</v>
      </c>
      <c r="AI54" s="4" t="str">
        <f>ADDRESS($AG54,1,TRUE,TRUE,"Lead Tables")&amp;":"&amp;ADDRESS($AG54,COLUMN('Lead Tables'!$K:$K),TRUE,TRUE)</f>
        <v>'Lead Tables'!$A$8:$K$8</v>
      </c>
      <c r="AJ54" s="64">
        <v>0.1</v>
      </c>
      <c r="AK54">
        <f t="shared" si="35"/>
        <v>1</v>
      </c>
      <c r="AP54"/>
    </row>
    <row r="55" spans="1:42" s="42" customFormat="1">
      <c r="A55" s="59" t="str">
        <f t="shared" si="34"/>
        <v>Jamicon R-18.0x40.0</v>
      </c>
      <c r="B55" s="35" t="s">
        <v>47</v>
      </c>
      <c r="C55" s="6" t="s">
        <v>59</v>
      </c>
      <c r="D55" s="6" t="s">
        <v>101</v>
      </c>
      <c r="E55" s="7">
        <v>0.5</v>
      </c>
      <c r="F55" s="7">
        <v>2</v>
      </c>
      <c r="G55" s="7">
        <v>0.3</v>
      </c>
      <c r="H55" s="7">
        <v>20.7</v>
      </c>
      <c r="I55" s="31">
        <f t="shared" si="36"/>
        <v>18</v>
      </c>
      <c r="J55" s="31">
        <f t="shared" si="37"/>
        <v>40</v>
      </c>
      <c r="K55" s="37">
        <f t="shared" ca="1" si="38"/>
        <v>300</v>
      </c>
      <c r="L55" s="60">
        <f t="shared" si="39"/>
        <v>26.299999999999997</v>
      </c>
      <c r="M55" s="60">
        <f t="shared" ca="1" si="40"/>
        <v>0.8</v>
      </c>
      <c r="N55" s="60">
        <f t="shared" si="41"/>
        <v>0.2</v>
      </c>
      <c r="O55" s="61">
        <f t="shared" si="42"/>
        <v>4.2253166533505979</v>
      </c>
      <c r="P55" s="61">
        <f t="shared" si="43"/>
        <v>2.2954807240164783</v>
      </c>
      <c r="Q55" s="58">
        <f t="shared" si="44"/>
        <v>17</v>
      </c>
      <c r="R55" s="58">
        <f t="shared" si="45"/>
        <v>6</v>
      </c>
      <c r="S55" s="58">
        <f t="shared" si="46"/>
        <v>2</v>
      </c>
      <c r="T55" s="58">
        <v>1</v>
      </c>
      <c r="U55" s="58">
        <v>0</v>
      </c>
      <c r="V55" s="58">
        <v>0</v>
      </c>
      <c r="W55" s="58">
        <v>3</v>
      </c>
      <c r="X55" s="58">
        <f t="shared" si="12"/>
        <v>3</v>
      </c>
      <c r="Y55" s="58">
        <v>8</v>
      </c>
      <c r="Z55" s="58">
        <f t="shared" si="13"/>
        <v>4</v>
      </c>
      <c r="AA55" s="60">
        <f>IF(ROUND(5.509253+(1.199745-5.509253)/(1+($I55/16.61827)^13.04355),1)&gt;3,3,ROUND(5.509253+(1.199745-5.509253)/(1+($I55/16.61827)^13.04355),1))</f>
        <v>3</v>
      </c>
      <c r="AB55" s="62">
        <f t="shared" si="33"/>
        <v>1.7371163867979154</v>
      </c>
      <c r="AC55" s="62">
        <f t="shared" si="19"/>
        <v>0.53846153846153844</v>
      </c>
      <c r="AD55" s="60">
        <f t="shared" ca="1" si="47"/>
        <v>7.5</v>
      </c>
      <c r="AE55" s="62">
        <f t="shared" si="23"/>
        <v>1</v>
      </c>
      <c r="AF55" s="60">
        <f t="shared" ca="1" si="48"/>
        <v>7.6199999999999992</v>
      </c>
      <c r="AG55" s="63">
        <f>1+MATCH($B55,'Lead Tables'!$A:$A,0)</f>
        <v>8</v>
      </c>
      <c r="AH55" s="60" t="str">
        <f>ADDRESS($AG55,1,TRUE,TRUE,"Lead Tables")&amp;":"&amp;ADDRESS($AG55+3,COLUMN('Lead Tables'!$K:$K),TRUE,TRUE)</f>
        <v>'Lead Tables'!$A$8:$K$11</v>
      </c>
      <c r="AI55" s="60" t="str">
        <f>ADDRESS($AG55,1,TRUE,TRUE,"Lead Tables")&amp;":"&amp;ADDRESS($AG55,COLUMN('Lead Tables'!$K:$K),TRUE,TRUE)</f>
        <v>'Lead Tables'!$A$8:$K$8</v>
      </c>
      <c r="AJ55" s="64">
        <v>0.1</v>
      </c>
      <c r="AK55" s="42">
        <f t="shared" si="35"/>
        <v>1</v>
      </c>
    </row>
    <row r="56" spans="1:42">
      <c r="A56" s="2" t="str">
        <f t="shared" si="34"/>
        <v>Jamicon R-22.0x30.0</v>
      </c>
      <c r="B56" s="35" t="s">
        <v>47</v>
      </c>
      <c r="C56" s="6" t="s">
        <v>59</v>
      </c>
      <c r="D56" s="6" t="s">
        <v>102</v>
      </c>
      <c r="E56" s="7">
        <v>0.5</v>
      </c>
      <c r="F56" s="7">
        <v>2</v>
      </c>
      <c r="G56" s="7">
        <v>0.3</v>
      </c>
      <c r="H56" s="7">
        <v>20.7</v>
      </c>
      <c r="I56" s="31">
        <f t="shared" si="36"/>
        <v>22</v>
      </c>
      <c r="J56" s="31">
        <f t="shared" si="37"/>
        <v>30</v>
      </c>
      <c r="K56" s="37">
        <f t="shared" ca="1" si="38"/>
        <v>400</v>
      </c>
      <c r="L56" s="4">
        <f t="shared" si="39"/>
        <v>26.299999999999997</v>
      </c>
      <c r="M56" s="4">
        <f t="shared" ca="1" si="40"/>
        <v>1</v>
      </c>
      <c r="N56" s="4">
        <f t="shared" si="41"/>
        <v>0.2</v>
      </c>
      <c r="O56" s="26">
        <f t="shared" si="42"/>
        <v>4.7437830116656556</v>
      </c>
      <c r="P56" s="26">
        <f t="shared" si="43"/>
        <v>2.8157217264567249</v>
      </c>
      <c r="Q56" s="58">
        <f t="shared" si="44"/>
        <v>17</v>
      </c>
      <c r="R56" s="57">
        <f t="shared" si="45"/>
        <v>6</v>
      </c>
      <c r="S56" s="57">
        <f t="shared" si="46"/>
        <v>2</v>
      </c>
      <c r="T56" s="57">
        <v>1</v>
      </c>
      <c r="U56" s="57">
        <v>0</v>
      </c>
      <c r="V56" s="57">
        <v>0</v>
      </c>
      <c r="W56" s="57">
        <v>3</v>
      </c>
      <c r="X56" s="57">
        <f t="shared" si="12"/>
        <v>3</v>
      </c>
      <c r="Y56" s="57">
        <v>8</v>
      </c>
      <c r="Z56" s="57">
        <f t="shared" si="13"/>
        <v>4</v>
      </c>
      <c r="AA56" s="60">
        <f t="shared" ref="AA56:AA64" si="49">IF(ROUND(5.509253+(1.199745-5.509253)/(1+($I56/16.61827)^13.04355),1)&gt;3,3,ROUND(5.509253+(1.199745-5.509253)/(1+($I56/16.61827)^13.04355),1))</f>
        <v>3</v>
      </c>
      <c r="AB56" s="38">
        <f t="shared" si="33"/>
        <v>1.7371163867979154</v>
      </c>
      <c r="AC56" s="38">
        <f t="shared" si="19"/>
        <v>0.53846153846153844</v>
      </c>
      <c r="AD56" s="4">
        <f t="shared" ca="1" si="47"/>
        <v>10</v>
      </c>
      <c r="AE56" s="38">
        <f t="shared" si="23"/>
        <v>1</v>
      </c>
      <c r="AF56" s="4">
        <f t="shared" ca="1" si="48"/>
        <v>10.16</v>
      </c>
      <c r="AG56" s="8">
        <f>1+MATCH($B56,'Lead Tables'!$A:$A,0)</f>
        <v>8</v>
      </c>
      <c r="AH56" s="4" t="str">
        <f>ADDRESS($AG56,1,TRUE,TRUE,"Lead Tables")&amp;":"&amp;ADDRESS($AG56+3,COLUMN('Lead Tables'!$K:$K),TRUE,TRUE)</f>
        <v>'Lead Tables'!$A$8:$K$11</v>
      </c>
      <c r="AI56" s="4" t="str">
        <f>ADDRESS($AG56,1,TRUE,TRUE,"Lead Tables")&amp;":"&amp;ADDRESS($AG56,COLUMN('Lead Tables'!$K:$K),TRUE,TRUE)</f>
        <v>'Lead Tables'!$A$8:$K$8</v>
      </c>
      <c r="AJ56" s="64">
        <v>0.1</v>
      </c>
      <c r="AK56">
        <f t="shared" si="35"/>
        <v>1</v>
      </c>
      <c r="AP56"/>
    </row>
    <row r="57" spans="1:42">
      <c r="A57" s="2" t="str">
        <f t="shared" si="34"/>
        <v>Jamicon R-22.0x35.0</v>
      </c>
      <c r="B57" s="35" t="s">
        <v>47</v>
      </c>
      <c r="C57" s="6" t="s">
        <v>59</v>
      </c>
      <c r="D57" s="6" t="s">
        <v>103</v>
      </c>
      <c r="E57" s="7">
        <v>0.5</v>
      </c>
      <c r="F57" s="7">
        <v>2</v>
      </c>
      <c r="G57" s="7">
        <v>0.3</v>
      </c>
      <c r="H57" s="7">
        <v>20.7</v>
      </c>
      <c r="I57" s="31">
        <f t="shared" si="36"/>
        <v>22</v>
      </c>
      <c r="J57" s="31">
        <f t="shared" si="37"/>
        <v>35</v>
      </c>
      <c r="K57" s="37">
        <f t="shared" ca="1" si="38"/>
        <v>400</v>
      </c>
      <c r="L57" s="4">
        <f t="shared" si="39"/>
        <v>26.299999999999997</v>
      </c>
      <c r="M57" s="4">
        <f t="shared" ca="1" si="40"/>
        <v>1</v>
      </c>
      <c r="N57" s="4">
        <f t="shared" si="41"/>
        <v>0.2</v>
      </c>
      <c r="O57" s="26">
        <f t="shared" si="42"/>
        <v>4.7437830116656556</v>
      </c>
      <c r="P57" s="26">
        <f t="shared" si="43"/>
        <v>2.8157217264567249</v>
      </c>
      <c r="Q57" s="58">
        <f t="shared" si="44"/>
        <v>17</v>
      </c>
      <c r="R57" s="57">
        <f t="shared" si="45"/>
        <v>6</v>
      </c>
      <c r="S57" s="57">
        <f t="shared" si="46"/>
        <v>2</v>
      </c>
      <c r="T57" s="57">
        <v>1</v>
      </c>
      <c r="U57" s="57">
        <v>0</v>
      </c>
      <c r="V57" s="57">
        <v>0</v>
      </c>
      <c r="W57" s="57">
        <v>3</v>
      </c>
      <c r="X57" s="57">
        <f t="shared" si="12"/>
        <v>3</v>
      </c>
      <c r="Y57" s="57">
        <v>8</v>
      </c>
      <c r="Z57" s="57">
        <f t="shared" si="13"/>
        <v>4</v>
      </c>
      <c r="AA57" s="60">
        <f t="shared" si="49"/>
        <v>3</v>
      </c>
      <c r="AB57" s="38">
        <f t="shared" si="33"/>
        <v>1.7371163867979154</v>
      </c>
      <c r="AC57" s="38">
        <f t="shared" si="19"/>
        <v>0.53846153846153844</v>
      </c>
      <c r="AD57" s="4">
        <f t="shared" ca="1" si="47"/>
        <v>10</v>
      </c>
      <c r="AE57" s="38">
        <f t="shared" si="23"/>
        <v>1</v>
      </c>
      <c r="AF57" s="4">
        <f t="shared" ca="1" si="48"/>
        <v>10.16</v>
      </c>
      <c r="AG57" s="8">
        <f>1+MATCH($B57,'Lead Tables'!$A:$A,0)</f>
        <v>8</v>
      </c>
      <c r="AH57" s="4" t="str">
        <f>ADDRESS($AG57,1,TRUE,TRUE,"Lead Tables")&amp;":"&amp;ADDRESS($AG57+3,COLUMN('Lead Tables'!$K:$K),TRUE,TRUE)</f>
        <v>'Lead Tables'!$A$8:$K$11</v>
      </c>
      <c r="AI57" s="4" t="str">
        <f>ADDRESS($AG57,1,TRUE,TRUE,"Lead Tables")&amp;":"&amp;ADDRESS($AG57,COLUMN('Lead Tables'!$K:$K),TRUE,TRUE)</f>
        <v>'Lead Tables'!$A$8:$K$8</v>
      </c>
      <c r="AJ57" s="64">
        <v>0.1</v>
      </c>
      <c r="AK57">
        <f t="shared" si="35"/>
        <v>1</v>
      </c>
      <c r="AP57"/>
    </row>
    <row r="58" spans="1:42">
      <c r="A58" s="2" t="str">
        <f t="shared" si="34"/>
        <v>Jamicon R-22.0x40.0</v>
      </c>
      <c r="B58" s="35" t="s">
        <v>47</v>
      </c>
      <c r="C58" s="6" t="s">
        <v>59</v>
      </c>
      <c r="D58" s="6" t="s">
        <v>104</v>
      </c>
      <c r="E58" s="7">
        <v>0.5</v>
      </c>
      <c r="F58" s="7">
        <v>2</v>
      </c>
      <c r="G58" s="7">
        <v>0.3</v>
      </c>
      <c r="H58" s="7">
        <v>20.7</v>
      </c>
      <c r="I58" s="31">
        <f t="shared" si="36"/>
        <v>22</v>
      </c>
      <c r="J58" s="31">
        <f t="shared" si="37"/>
        <v>40</v>
      </c>
      <c r="K58" s="37">
        <f t="shared" ca="1" si="38"/>
        <v>400</v>
      </c>
      <c r="L58" s="4">
        <f t="shared" si="39"/>
        <v>26.299999999999997</v>
      </c>
      <c r="M58" s="4">
        <f t="shared" ca="1" si="40"/>
        <v>1</v>
      </c>
      <c r="N58" s="4">
        <f t="shared" si="41"/>
        <v>0.2</v>
      </c>
      <c r="O58" s="26">
        <f t="shared" si="42"/>
        <v>4.7437830116656556</v>
      </c>
      <c r="P58" s="26">
        <f t="shared" si="43"/>
        <v>2.8157217264567249</v>
      </c>
      <c r="Q58" s="58">
        <f t="shared" si="44"/>
        <v>17</v>
      </c>
      <c r="R58" s="57">
        <f t="shared" si="45"/>
        <v>6</v>
      </c>
      <c r="S58" s="57">
        <f t="shared" si="46"/>
        <v>2</v>
      </c>
      <c r="T58" s="57">
        <v>1</v>
      </c>
      <c r="U58" s="57">
        <v>0</v>
      </c>
      <c r="V58" s="57">
        <v>0</v>
      </c>
      <c r="W58" s="57">
        <v>3</v>
      </c>
      <c r="X58" s="57">
        <f t="shared" si="12"/>
        <v>3</v>
      </c>
      <c r="Y58" s="57">
        <v>8</v>
      </c>
      <c r="Z58" s="57">
        <f t="shared" si="13"/>
        <v>4</v>
      </c>
      <c r="AA58" s="60">
        <f t="shared" si="49"/>
        <v>3</v>
      </c>
      <c r="AB58" s="38">
        <f t="shared" si="33"/>
        <v>1.7371163867979154</v>
      </c>
      <c r="AC58" s="38">
        <f t="shared" si="19"/>
        <v>0.53846153846153844</v>
      </c>
      <c r="AD58" s="4">
        <f t="shared" ca="1" si="47"/>
        <v>10</v>
      </c>
      <c r="AE58" s="38">
        <f t="shared" si="23"/>
        <v>1</v>
      </c>
      <c r="AF58" s="4">
        <f t="shared" ca="1" si="48"/>
        <v>10.16</v>
      </c>
      <c r="AG58" s="8">
        <f>1+MATCH($B58,'Lead Tables'!$A:$A,0)</f>
        <v>8</v>
      </c>
      <c r="AH58" s="4" t="str">
        <f>ADDRESS($AG58,1,TRUE,TRUE,"Lead Tables")&amp;":"&amp;ADDRESS($AG58+3,COLUMN('Lead Tables'!$K:$K),TRUE,TRUE)</f>
        <v>'Lead Tables'!$A$8:$K$11</v>
      </c>
      <c r="AI58" s="4" t="str">
        <f>ADDRESS($AG58,1,TRUE,TRUE,"Lead Tables")&amp;":"&amp;ADDRESS($AG58,COLUMN('Lead Tables'!$K:$K),TRUE,TRUE)</f>
        <v>'Lead Tables'!$A$8:$K$8</v>
      </c>
      <c r="AJ58" s="64">
        <v>0.1</v>
      </c>
      <c r="AK58">
        <f t="shared" si="35"/>
        <v>1</v>
      </c>
      <c r="AP58"/>
    </row>
    <row r="59" spans="1:42">
      <c r="A59" s="2" t="str">
        <f t="shared" si="34"/>
        <v>Jamicon R-22.0x45.0</v>
      </c>
      <c r="B59" s="35" t="s">
        <v>47</v>
      </c>
      <c r="C59" s="6" t="s">
        <v>59</v>
      </c>
      <c r="D59" s="6" t="s">
        <v>105</v>
      </c>
      <c r="E59" s="7">
        <v>0.5</v>
      </c>
      <c r="F59" s="7">
        <v>2</v>
      </c>
      <c r="G59" s="7">
        <v>0.3</v>
      </c>
      <c r="H59" s="7">
        <v>20.7</v>
      </c>
      <c r="I59" s="31">
        <f t="shared" si="36"/>
        <v>22</v>
      </c>
      <c r="J59" s="31">
        <f t="shared" si="37"/>
        <v>45</v>
      </c>
      <c r="K59" s="37">
        <f t="shared" ca="1" si="38"/>
        <v>400</v>
      </c>
      <c r="L59" s="4">
        <f t="shared" si="39"/>
        <v>26.299999999999997</v>
      </c>
      <c r="M59" s="4">
        <f t="shared" ca="1" si="40"/>
        <v>1</v>
      </c>
      <c r="N59" s="4">
        <f t="shared" si="41"/>
        <v>0.2</v>
      </c>
      <c r="O59" s="26">
        <f t="shared" si="42"/>
        <v>4.7437830116656556</v>
      </c>
      <c r="P59" s="26">
        <f t="shared" si="43"/>
        <v>2.8157217264567249</v>
      </c>
      <c r="Q59" s="58">
        <f t="shared" si="44"/>
        <v>17</v>
      </c>
      <c r="R59" s="57">
        <f t="shared" si="45"/>
        <v>6</v>
      </c>
      <c r="S59" s="57">
        <f t="shared" si="46"/>
        <v>2</v>
      </c>
      <c r="T59" s="57">
        <v>1</v>
      </c>
      <c r="U59" s="57">
        <v>0</v>
      </c>
      <c r="V59" s="57">
        <v>0</v>
      </c>
      <c r="W59" s="57">
        <v>3</v>
      </c>
      <c r="X59" s="57">
        <f t="shared" si="12"/>
        <v>3</v>
      </c>
      <c r="Y59" s="57">
        <v>8</v>
      </c>
      <c r="Z59" s="57">
        <f t="shared" si="13"/>
        <v>4</v>
      </c>
      <c r="AA59" s="60">
        <f t="shared" si="49"/>
        <v>3</v>
      </c>
      <c r="AB59" s="38">
        <f t="shared" si="33"/>
        <v>1.7371163867979154</v>
      </c>
      <c r="AC59" s="38">
        <f t="shared" si="19"/>
        <v>0.53846153846153844</v>
      </c>
      <c r="AD59" s="4">
        <f t="shared" ca="1" si="47"/>
        <v>10</v>
      </c>
      <c r="AE59" s="38">
        <f t="shared" si="23"/>
        <v>1</v>
      </c>
      <c r="AF59" s="4">
        <f t="shared" ca="1" si="48"/>
        <v>10.16</v>
      </c>
      <c r="AG59" s="8">
        <f>1+MATCH($B59,'Lead Tables'!$A:$A,0)</f>
        <v>8</v>
      </c>
      <c r="AH59" s="4" t="str">
        <f>ADDRESS($AG59,1,TRUE,TRUE,"Lead Tables")&amp;":"&amp;ADDRESS($AG59+3,COLUMN('Lead Tables'!$K:$K),TRUE,TRUE)</f>
        <v>'Lead Tables'!$A$8:$K$11</v>
      </c>
      <c r="AI59" s="4" t="str">
        <f>ADDRESS($AG59,1,TRUE,TRUE,"Lead Tables")&amp;":"&amp;ADDRESS($AG59,COLUMN('Lead Tables'!$K:$K),TRUE,TRUE)</f>
        <v>'Lead Tables'!$A$8:$K$8</v>
      </c>
      <c r="AJ59" s="64">
        <v>0.1</v>
      </c>
      <c r="AK59">
        <f t="shared" si="35"/>
        <v>1</v>
      </c>
      <c r="AP59"/>
    </row>
    <row r="60" spans="1:42">
      <c r="A60" s="2" t="str">
        <f t="shared" si="34"/>
        <v>Jamicon R-22.0x50.0</v>
      </c>
      <c r="B60" s="35" t="s">
        <v>47</v>
      </c>
      <c r="C60" s="6" t="s">
        <v>59</v>
      </c>
      <c r="D60" s="6" t="s">
        <v>106</v>
      </c>
      <c r="E60" s="7">
        <v>0.5</v>
      </c>
      <c r="F60" s="7">
        <v>2</v>
      </c>
      <c r="G60" s="7">
        <v>0.3</v>
      </c>
      <c r="H60" s="7">
        <v>20.7</v>
      </c>
      <c r="I60" s="31">
        <f t="shared" si="36"/>
        <v>22</v>
      </c>
      <c r="J60" s="31">
        <f t="shared" si="37"/>
        <v>50</v>
      </c>
      <c r="K60" s="37">
        <f t="shared" ca="1" si="38"/>
        <v>400</v>
      </c>
      <c r="L60" s="4">
        <f t="shared" si="39"/>
        <v>26.299999999999997</v>
      </c>
      <c r="M60" s="4">
        <f t="shared" ca="1" si="40"/>
        <v>1</v>
      </c>
      <c r="N60" s="4">
        <f t="shared" si="41"/>
        <v>0.2</v>
      </c>
      <c r="O60" s="26">
        <f t="shared" si="42"/>
        <v>4.7437830116656556</v>
      </c>
      <c r="P60" s="26">
        <f t="shared" si="43"/>
        <v>2.8157217264567249</v>
      </c>
      <c r="Q60" s="58">
        <f t="shared" si="44"/>
        <v>17</v>
      </c>
      <c r="R60" s="57">
        <f t="shared" si="45"/>
        <v>6</v>
      </c>
      <c r="S60" s="57">
        <f t="shared" si="46"/>
        <v>2</v>
      </c>
      <c r="T60" s="57">
        <v>1</v>
      </c>
      <c r="U60" s="57">
        <v>0</v>
      </c>
      <c r="V60" s="57">
        <v>0</v>
      </c>
      <c r="W60" s="57">
        <v>3</v>
      </c>
      <c r="X60" s="57">
        <f t="shared" si="12"/>
        <v>3</v>
      </c>
      <c r="Y60" s="57">
        <v>8</v>
      </c>
      <c r="Z60" s="57">
        <f t="shared" si="13"/>
        <v>4</v>
      </c>
      <c r="AA60" s="60">
        <f t="shared" si="49"/>
        <v>3</v>
      </c>
      <c r="AB60" s="38">
        <f t="shared" si="33"/>
        <v>1.7371163867979154</v>
      </c>
      <c r="AC60" s="38">
        <f t="shared" si="19"/>
        <v>0.53846153846153844</v>
      </c>
      <c r="AD60" s="4">
        <f t="shared" ca="1" si="47"/>
        <v>10</v>
      </c>
      <c r="AE60" s="38">
        <f t="shared" si="23"/>
        <v>1</v>
      </c>
      <c r="AF60" s="4">
        <f t="shared" ca="1" si="48"/>
        <v>10.16</v>
      </c>
      <c r="AG60" s="8">
        <f>1+MATCH($B60,'Lead Tables'!$A:$A,0)</f>
        <v>8</v>
      </c>
      <c r="AH60" s="4" t="str">
        <f>ADDRESS($AG60,1,TRUE,TRUE,"Lead Tables")&amp;":"&amp;ADDRESS($AG60+3,COLUMN('Lead Tables'!$K:$K),TRUE,TRUE)</f>
        <v>'Lead Tables'!$A$8:$K$11</v>
      </c>
      <c r="AI60" s="4" t="str">
        <f>ADDRESS($AG60,1,TRUE,TRUE,"Lead Tables")&amp;":"&amp;ADDRESS($AG60,COLUMN('Lead Tables'!$K:$K),TRUE,TRUE)</f>
        <v>'Lead Tables'!$A$8:$K$8</v>
      </c>
      <c r="AJ60" s="64">
        <v>0.1</v>
      </c>
      <c r="AK60">
        <f t="shared" si="35"/>
        <v>1</v>
      </c>
      <c r="AP60"/>
    </row>
    <row r="61" spans="1:42">
      <c r="A61" s="2" t="str">
        <f t="shared" si="34"/>
        <v>Jamicon R-25.0x45.0</v>
      </c>
      <c r="B61" s="35" t="s">
        <v>47</v>
      </c>
      <c r="C61" s="6" t="s">
        <v>59</v>
      </c>
      <c r="D61" s="6" t="s">
        <v>107</v>
      </c>
      <c r="E61" s="7">
        <v>0.5</v>
      </c>
      <c r="F61" s="7">
        <v>2</v>
      </c>
      <c r="G61" s="7">
        <v>0.3</v>
      </c>
      <c r="H61" s="7">
        <v>20.7</v>
      </c>
      <c r="I61" s="31">
        <f t="shared" si="36"/>
        <v>25</v>
      </c>
      <c r="J61" s="31">
        <f t="shared" si="37"/>
        <v>45</v>
      </c>
      <c r="K61" s="37">
        <f t="shared" ca="1" si="38"/>
        <v>500</v>
      </c>
      <c r="L61" s="4">
        <f t="shared" si="39"/>
        <v>26.299999999999997</v>
      </c>
      <c r="M61" s="4">
        <f t="shared" ca="1" si="40"/>
        <v>1</v>
      </c>
      <c r="N61" s="4">
        <f t="shared" si="41"/>
        <v>0.2</v>
      </c>
      <c r="O61" s="26">
        <f t="shared" si="42"/>
        <v>4.8568270722402875</v>
      </c>
      <c r="P61" s="26">
        <f t="shared" si="43"/>
        <v>3.4351873846376169</v>
      </c>
      <c r="Q61" s="58">
        <f t="shared" si="44"/>
        <v>17</v>
      </c>
      <c r="R61" s="57">
        <f t="shared" si="45"/>
        <v>6</v>
      </c>
      <c r="S61" s="57">
        <f t="shared" si="46"/>
        <v>2</v>
      </c>
      <c r="T61" s="57">
        <v>1</v>
      </c>
      <c r="U61" s="57">
        <v>0</v>
      </c>
      <c r="V61" s="57">
        <v>0</v>
      </c>
      <c r="W61" s="57">
        <v>3</v>
      </c>
      <c r="X61" s="57">
        <f t="shared" si="12"/>
        <v>3</v>
      </c>
      <c r="Y61" s="57">
        <v>8</v>
      </c>
      <c r="Z61" s="57">
        <f t="shared" si="13"/>
        <v>4</v>
      </c>
      <c r="AA61" s="60">
        <f t="shared" si="49"/>
        <v>3</v>
      </c>
      <c r="AB61" s="38">
        <f t="shared" si="33"/>
        <v>1.7371163867979154</v>
      </c>
      <c r="AC61" s="38">
        <f t="shared" si="19"/>
        <v>0.53846153846153844</v>
      </c>
      <c r="AD61" s="4">
        <f t="shared" ca="1" si="47"/>
        <v>12.5</v>
      </c>
      <c r="AE61" s="38">
        <f t="shared" si="23"/>
        <v>1</v>
      </c>
      <c r="AF61" s="4">
        <f t="shared" ca="1" si="48"/>
        <v>12.7</v>
      </c>
      <c r="AG61" s="8">
        <f>1+MATCH($B61,'Lead Tables'!$A:$A,0)</f>
        <v>8</v>
      </c>
      <c r="AH61" s="4" t="str">
        <f>ADDRESS($AG61,1,TRUE,TRUE,"Lead Tables")&amp;":"&amp;ADDRESS($AG61+3,COLUMN('Lead Tables'!$K:$K),TRUE,TRUE)</f>
        <v>'Lead Tables'!$A$8:$K$11</v>
      </c>
      <c r="AI61" s="4" t="str">
        <f>ADDRESS($AG61,1,TRUE,TRUE,"Lead Tables")&amp;":"&amp;ADDRESS($AG61,COLUMN('Lead Tables'!$K:$K),TRUE,TRUE)</f>
        <v>'Lead Tables'!$A$8:$K$8</v>
      </c>
      <c r="AJ61" s="64">
        <v>0.1</v>
      </c>
      <c r="AK61">
        <f t="shared" si="35"/>
        <v>1</v>
      </c>
      <c r="AP61"/>
    </row>
    <row r="62" spans="1:42">
      <c r="A62" s="2" t="str">
        <f t="shared" si="34"/>
        <v>Jamicon R-25.0x50.0</v>
      </c>
      <c r="B62" s="35" t="s">
        <v>47</v>
      </c>
      <c r="C62" s="6" t="s">
        <v>59</v>
      </c>
      <c r="D62" s="6" t="s">
        <v>86</v>
      </c>
      <c r="E62" s="7">
        <v>0.5</v>
      </c>
      <c r="F62" s="7">
        <v>2</v>
      </c>
      <c r="G62" s="7">
        <v>0.3</v>
      </c>
      <c r="H62" s="7">
        <v>20.7</v>
      </c>
      <c r="I62" s="31">
        <f t="shared" si="36"/>
        <v>25</v>
      </c>
      <c r="J62" s="31">
        <f t="shared" si="37"/>
        <v>50</v>
      </c>
      <c r="K62" s="37">
        <f t="shared" ca="1" si="38"/>
        <v>500</v>
      </c>
      <c r="L62" s="4">
        <f t="shared" si="39"/>
        <v>26.299999999999997</v>
      </c>
      <c r="M62" s="4">
        <f t="shared" ca="1" si="40"/>
        <v>1</v>
      </c>
      <c r="N62" s="4">
        <f t="shared" si="41"/>
        <v>0.2</v>
      </c>
      <c r="O62" s="26">
        <f t="shared" si="42"/>
        <v>4.8568270722402875</v>
      </c>
      <c r="P62" s="26">
        <f t="shared" si="43"/>
        <v>3.4351873846376169</v>
      </c>
      <c r="Q62" s="58">
        <f t="shared" si="44"/>
        <v>17</v>
      </c>
      <c r="R62" s="57">
        <f t="shared" si="45"/>
        <v>6</v>
      </c>
      <c r="S62" s="57">
        <f t="shared" si="46"/>
        <v>2</v>
      </c>
      <c r="T62" s="57">
        <v>1</v>
      </c>
      <c r="U62" s="57">
        <v>0</v>
      </c>
      <c r="V62" s="57">
        <v>0</v>
      </c>
      <c r="W62" s="57">
        <v>3</v>
      </c>
      <c r="X62" s="57">
        <f t="shared" si="12"/>
        <v>3</v>
      </c>
      <c r="Y62" s="57">
        <v>8</v>
      </c>
      <c r="Z62" s="57">
        <f t="shared" si="13"/>
        <v>4</v>
      </c>
      <c r="AA62" s="60">
        <f t="shared" si="49"/>
        <v>3</v>
      </c>
      <c r="AB62" s="38">
        <f t="shared" si="33"/>
        <v>1.7371163867979154</v>
      </c>
      <c r="AC62" s="38">
        <f t="shared" si="19"/>
        <v>0.53846153846153844</v>
      </c>
      <c r="AD62" s="4">
        <f t="shared" ca="1" si="47"/>
        <v>12.5</v>
      </c>
      <c r="AE62" s="38">
        <f t="shared" si="23"/>
        <v>1</v>
      </c>
      <c r="AF62" s="4">
        <f t="shared" ca="1" si="48"/>
        <v>12.7</v>
      </c>
      <c r="AG62" s="8">
        <f>1+MATCH($B62,'Lead Tables'!$A:$A,0)</f>
        <v>8</v>
      </c>
      <c r="AH62" s="4" t="str">
        <f>ADDRESS($AG62,1,TRUE,TRUE,"Lead Tables")&amp;":"&amp;ADDRESS($AG62+3,COLUMN('Lead Tables'!$K:$K),TRUE,TRUE)</f>
        <v>'Lead Tables'!$A$8:$K$11</v>
      </c>
      <c r="AI62" s="4" t="str">
        <f>ADDRESS($AG62,1,TRUE,TRUE,"Lead Tables")&amp;":"&amp;ADDRESS($AG62,COLUMN('Lead Tables'!$K:$K),TRUE,TRUE)</f>
        <v>'Lead Tables'!$A$8:$K$8</v>
      </c>
      <c r="AJ62" s="64">
        <v>0.1</v>
      </c>
      <c r="AK62">
        <f t="shared" si="35"/>
        <v>1</v>
      </c>
    </row>
    <row r="63" spans="1:42">
      <c r="A63" s="2" t="str">
        <f t="shared" si="34"/>
        <v>Yihcon R-10.0x35.0</v>
      </c>
      <c r="B63" s="35" t="s">
        <v>51</v>
      </c>
      <c r="C63" s="6" t="s">
        <v>59</v>
      </c>
      <c r="D63" s="6" t="s">
        <v>115</v>
      </c>
      <c r="E63" s="7">
        <v>0.5</v>
      </c>
      <c r="F63" s="7">
        <v>2</v>
      </c>
      <c r="G63" s="7">
        <v>0.3</v>
      </c>
      <c r="H63" s="7">
        <v>4.5</v>
      </c>
      <c r="I63" s="31">
        <f>VALUE(LEFT($D63,SEARCH("x",$D63)-1))</f>
        <v>10.1</v>
      </c>
      <c r="J63" s="31">
        <f>VALUE(RIGHT($D63,LEN($D63)-SEARCH("x",$D63)))</f>
        <v>35</v>
      </c>
      <c r="K63" s="37">
        <f>1000*ROUND($AD63/25.4,2)</f>
        <v>200</v>
      </c>
      <c r="L63" s="3">
        <v>4.5</v>
      </c>
      <c r="M63" s="3">
        <v>0.5</v>
      </c>
      <c r="N63" s="3">
        <v>0.2</v>
      </c>
      <c r="O63" s="3">
        <v>3</v>
      </c>
      <c r="P63" s="3">
        <v>2</v>
      </c>
      <c r="Q63" s="57">
        <f t="shared" ref="Q63:S64" si="50">rptNone</f>
        <v>0</v>
      </c>
      <c r="R63" s="57">
        <f t="shared" si="50"/>
        <v>0</v>
      </c>
      <c r="S63" s="57">
        <f t="shared" si="50"/>
        <v>0</v>
      </c>
      <c r="T63" s="57">
        <v>0</v>
      </c>
      <c r="U63" s="57">
        <v>0</v>
      </c>
      <c r="V63" s="57">
        <v>0</v>
      </c>
      <c r="W63" s="57">
        <v>0</v>
      </c>
      <c r="X63" s="57">
        <f t="shared" si="12"/>
        <v>0</v>
      </c>
      <c r="Y63" s="57">
        <v>8</v>
      </c>
      <c r="Z63" s="57">
        <f t="shared" si="13"/>
        <v>4</v>
      </c>
      <c r="AA63" s="60">
        <f t="shared" si="49"/>
        <v>1.2</v>
      </c>
      <c r="AB63" s="38">
        <f>AA63/1.059</f>
        <v>1.1331444759206799</v>
      </c>
      <c r="AC63" s="38">
        <f>AB63/0.75</f>
        <v>1.5108593012275733</v>
      </c>
      <c r="AD63" s="3">
        <v>5</v>
      </c>
      <c r="AE63" s="38">
        <f t="shared" si="23"/>
        <v>0.39999999999999997</v>
      </c>
      <c r="AF63" s="4">
        <f>K63/1000 * 25.4</f>
        <v>5.08</v>
      </c>
      <c r="AG63" s="8" t="e">
        <f>1+MATCH($B63,'Lead Tables'!$A:$A,0)</f>
        <v>#N/A</v>
      </c>
      <c r="AH63" s="4" t="e">
        <f>ADDRESS($AG63,1,TRUE,TRUE,"Lead Tables")&amp;":"&amp;ADDRESS($AG63+3,COLUMN('Lead Tables'!$K:$K),TRUE,TRUE)</f>
        <v>#N/A</v>
      </c>
      <c r="AI63" s="4" t="e">
        <f>ADDRESS($AG63,1,TRUE,TRUE,"Lead Tables")&amp;":"&amp;ADDRESS($AG63,COLUMN('Lead Tables'!$K:$K),TRUE,TRUE)</f>
        <v>#N/A</v>
      </c>
      <c r="AJ63" s="64">
        <v>0.1</v>
      </c>
      <c r="AK63">
        <f t="shared" si="35"/>
        <v>1</v>
      </c>
    </row>
    <row r="64" spans="1:42">
      <c r="A64" s="2" t="str">
        <f t="shared" si="34"/>
        <v>Nichicon R-08.0x12.0</v>
      </c>
      <c r="B64" s="35" t="s">
        <v>57</v>
      </c>
      <c r="C64" s="6" t="s">
        <v>59</v>
      </c>
      <c r="D64" s="6" t="s">
        <v>71</v>
      </c>
      <c r="E64" s="7">
        <v>0.5</v>
      </c>
      <c r="F64" s="7">
        <v>2</v>
      </c>
      <c r="G64" s="7">
        <v>0.3</v>
      </c>
      <c r="H64" s="7">
        <v>4.5</v>
      </c>
      <c r="I64" s="31">
        <f>VALUE(LEFT($D64,SEARCH("x",$D64)-1))</f>
        <v>8</v>
      </c>
      <c r="J64" s="31">
        <f>VALUE(RIGHT($D64,LEN($D64)-SEARCH("x",$D64)))</f>
        <v>12</v>
      </c>
      <c r="K64" s="37">
        <f>1000*ROUND($AD64/25.4,2)</f>
        <v>120</v>
      </c>
      <c r="L64" s="3">
        <v>4.5</v>
      </c>
      <c r="M64" s="3">
        <v>0.5</v>
      </c>
      <c r="N64" s="3">
        <v>0.2</v>
      </c>
      <c r="O64" s="3">
        <v>2</v>
      </c>
      <c r="P64" s="3">
        <v>1.5</v>
      </c>
      <c r="Q64" s="57">
        <f t="shared" si="50"/>
        <v>0</v>
      </c>
      <c r="R64" s="57">
        <f t="shared" si="50"/>
        <v>0</v>
      </c>
      <c r="S64" s="57">
        <f t="shared" si="50"/>
        <v>0</v>
      </c>
      <c r="T64" s="57">
        <v>0</v>
      </c>
      <c r="U64" s="57">
        <v>0</v>
      </c>
      <c r="V64" s="57">
        <v>0</v>
      </c>
      <c r="W64" s="57">
        <v>0</v>
      </c>
      <c r="X64" s="57">
        <f t="shared" si="12"/>
        <v>0</v>
      </c>
      <c r="Y64" s="57">
        <v>8</v>
      </c>
      <c r="Z64" s="57">
        <f t="shared" si="13"/>
        <v>4</v>
      </c>
      <c r="AA64" s="60">
        <f t="shared" si="49"/>
        <v>1.2</v>
      </c>
      <c r="AB64" s="38">
        <f>AA64/1.059</f>
        <v>1.1331444759206799</v>
      </c>
      <c r="AC64" s="38">
        <f t="shared" ref="AC64" si="51">IF(AA64/1.8&gt;1.6,1.6,AA64/1.8)</f>
        <v>0.66666666666666663</v>
      </c>
      <c r="AD64" s="3">
        <v>3</v>
      </c>
      <c r="AE64" s="38">
        <f t="shared" ref="AE64" si="52">AA64/3</f>
        <v>0.39999999999999997</v>
      </c>
      <c r="AF64" s="4">
        <f>K64/1000 * 25.4</f>
        <v>3.0479999999999996</v>
      </c>
      <c r="AG64" s="8" t="e">
        <f>1+MATCH($B64,'Lead Tables'!$A:$A,0)</f>
        <v>#N/A</v>
      </c>
      <c r="AH64" s="4" t="e">
        <f>ADDRESS($AG64,1,TRUE,TRUE,"Lead Tables")&amp;":"&amp;ADDRESS($AG64+3,COLUMN('Lead Tables'!$K:$K),TRUE,TRUE)</f>
        <v>#N/A</v>
      </c>
      <c r="AI64" s="4" t="e">
        <f>ADDRESS($AG64,1,TRUE,TRUE,"Lead Tables")&amp;":"&amp;ADDRESS($AG64,COLUMN('Lead Tables'!$K:$K),TRUE,TRUE)</f>
        <v>#N/A</v>
      </c>
      <c r="AJ64" s="64">
        <v>0.1</v>
      </c>
      <c r="AK64">
        <f t="shared" ref="AK64" si="53">COUNTIF(A:A,A64)</f>
        <v>1</v>
      </c>
    </row>
  </sheetData>
  <autoFilter ref="A1:AK64">
    <filterColumn colId="9"/>
    <filterColumn colId="16"/>
    <filterColumn colId="17"/>
    <filterColumn colId="18"/>
    <filterColumn colId="19"/>
    <filterColumn colId="20"/>
    <filterColumn colId="21"/>
    <filterColumn colId="22"/>
    <filterColumn colId="23"/>
    <filterColumn colId="24"/>
    <filterColumn colId="25"/>
    <filterColumn colId="27"/>
    <filterColumn colId="28"/>
    <filterColumn colId="35"/>
  </autoFilter>
  <sortState ref="A2:W75">
    <sortCondition ref="A2:A75"/>
  </sortState>
  <dataConsolidate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7"/>
  <sheetViews>
    <sheetView workbookViewId="0">
      <selection activeCell="F17" sqref="F17"/>
    </sheetView>
  </sheetViews>
  <sheetFormatPr defaultRowHeight="15"/>
  <cols>
    <col min="1" max="1" width="24.28515625" bestFit="1" customWidth="1"/>
    <col min="2" max="2" width="3.85546875" bestFit="1" customWidth="1"/>
  </cols>
  <sheetData>
    <row r="1" spans="1:25" ht="18.75">
      <c r="A1" s="27" t="s">
        <v>49</v>
      </c>
    </row>
    <row r="2" spans="1:25">
      <c r="A2" s="17" t="s">
        <v>3</v>
      </c>
      <c r="B2" s="18" t="s">
        <v>63</v>
      </c>
      <c r="C2" s="18">
        <v>5</v>
      </c>
      <c r="D2" s="18">
        <v>6.3</v>
      </c>
      <c r="E2" s="18">
        <v>8</v>
      </c>
      <c r="F2" s="18">
        <v>10</v>
      </c>
      <c r="G2" s="18">
        <v>13</v>
      </c>
      <c r="H2" s="18">
        <v>16</v>
      </c>
      <c r="I2" s="18">
        <v>18</v>
      </c>
      <c r="J2" s="18">
        <v>22</v>
      </c>
      <c r="K2" s="18">
        <v>25</v>
      </c>
    </row>
    <row r="3" spans="1:25">
      <c r="A3" s="17" t="s">
        <v>6</v>
      </c>
      <c r="B3" s="18" t="s">
        <v>61</v>
      </c>
      <c r="C3" s="17">
        <v>2</v>
      </c>
      <c r="D3" s="17">
        <v>2.5</v>
      </c>
      <c r="E3" s="17">
        <v>3.5</v>
      </c>
      <c r="F3" s="17">
        <v>5</v>
      </c>
      <c r="G3" s="17">
        <v>5</v>
      </c>
      <c r="H3" s="17">
        <v>7.5</v>
      </c>
      <c r="I3" s="17">
        <v>7.5</v>
      </c>
      <c r="J3" s="17">
        <v>10</v>
      </c>
      <c r="K3" s="17">
        <v>12.5</v>
      </c>
    </row>
    <row r="4" spans="1:25">
      <c r="A4" s="17" t="s">
        <v>4</v>
      </c>
      <c r="B4" s="18" t="s">
        <v>62</v>
      </c>
      <c r="C4" s="17">
        <v>0.5</v>
      </c>
      <c r="D4" s="17">
        <v>0.5</v>
      </c>
      <c r="E4" s="17">
        <v>0.5</v>
      </c>
      <c r="F4" s="17">
        <v>0.6</v>
      </c>
      <c r="G4" s="17">
        <v>0.6</v>
      </c>
      <c r="H4" s="17">
        <v>0.8</v>
      </c>
      <c r="I4" s="17">
        <v>0.8</v>
      </c>
      <c r="J4" s="17">
        <v>1</v>
      </c>
      <c r="K4" s="17">
        <v>1</v>
      </c>
    </row>
    <row r="5" spans="1:25">
      <c r="A5" s="17"/>
      <c r="B5" s="18"/>
      <c r="C5" s="17"/>
      <c r="D5" s="17"/>
      <c r="E5" s="17"/>
      <c r="F5" s="17"/>
      <c r="G5" s="17"/>
      <c r="H5" s="17"/>
      <c r="I5" s="17"/>
      <c r="J5" s="17"/>
      <c r="K5" s="17"/>
    </row>
    <row r="7" spans="1:25" ht="18.75">
      <c r="A7" s="27" t="s">
        <v>47</v>
      </c>
    </row>
    <row r="8" spans="1:25">
      <c r="A8" s="17" t="s">
        <v>3</v>
      </c>
      <c r="B8" s="18" t="s">
        <v>88</v>
      </c>
      <c r="C8" s="18">
        <v>5</v>
      </c>
      <c r="D8" s="18">
        <v>6.3</v>
      </c>
      <c r="E8" s="18">
        <v>8</v>
      </c>
      <c r="F8" s="18">
        <v>10</v>
      </c>
      <c r="G8" s="18">
        <v>12.5</v>
      </c>
      <c r="H8" s="18">
        <v>16</v>
      </c>
      <c r="I8" s="18">
        <v>18</v>
      </c>
      <c r="J8" s="18">
        <v>22</v>
      </c>
      <c r="K8" s="18">
        <v>25</v>
      </c>
    </row>
    <row r="9" spans="1:25">
      <c r="A9" s="17" t="s">
        <v>6</v>
      </c>
      <c r="B9" s="18" t="s">
        <v>61</v>
      </c>
      <c r="C9" s="17">
        <v>2</v>
      </c>
      <c r="D9" s="17">
        <v>2.5</v>
      </c>
      <c r="E9" s="17">
        <v>3.5</v>
      </c>
      <c r="F9" s="17">
        <v>5</v>
      </c>
      <c r="G9" s="17">
        <v>5</v>
      </c>
      <c r="H9" s="17">
        <v>7.5</v>
      </c>
      <c r="I9" s="17">
        <v>7.5</v>
      </c>
      <c r="J9" s="17">
        <v>10</v>
      </c>
      <c r="K9" s="17">
        <v>12.5</v>
      </c>
    </row>
    <row r="10" spans="1:25">
      <c r="A10" s="17" t="s">
        <v>4</v>
      </c>
      <c r="B10" s="18" t="s">
        <v>89</v>
      </c>
      <c r="C10" s="17">
        <v>0.5</v>
      </c>
      <c r="D10" s="17">
        <v>0.5</v>
      </c>
      <c r="E10" s="17">
        <v>0.6</v>
      </c>
      <c r="F10" s="17">
        <v>0.6</v>
      </c>
      <c r="G10" s="17">
        <v>0.6</v>
      </c>
      <c r="H10" s="17">
        <v>0.8</v>
      </c>
      <c r="I10" s="17">
        <v>0.8</v>
      </c>
      <c r="J10" s="17">
        <v>1</v>
      </c>
      <c r="K10" s="17">
        <v>1</v>
      </c>
    </row>
    <row r="11" spans="1:25">
      <c r="A11" s="17" t="s">
        <v>91</v>
      </c>
      <c r="B11" s="18" t="s">
        <v>90</v>
      </c>
      <c r="C11" s="17">
        <v>1.5</v>
      </c>
      <c r="D11" s="17">
        <v>1.5</v>
      </c>
      <c r="E11" s="17">
        <v>1.5</v>
      </c>
      <c r="F11" s="17">
        <v>1.5</v>
      </c>
      <c r="G11" s="17">
        <v>1.5</v>
      </c>
      <c r="H11" s="17">
        <v>1.5</v>
      </c>
      <c r="I11" s="17">
        <v>1.5</v>
      </c>
      <c r="J11" s="17">
        <v>2</v>
      </c>
      <c r="K11" s="17">
        <v>2</v>
      </c>
    </row>
    <row r="14" spans="1:25">
      <c r="B14" s="28"/>
      <c r="C14" s="29"/>
      <c r="D14" s="29"/>
      <c r="E14" s="28"/>
      <c r="F14" s="28"/>
      <c r="G14" s="28"/>
      <c r="H14" s="28"/>
      <c r="I14" s="28"/>
      <c r="J14" s="28"/>
      <c r="K14" s="28"/>
      <c r="L14" s="29"/>
      <c r="M14" s="29"/>
      <c r="N14" s="29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25"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</row>
    <row r="16" spans="1:25"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</row>
    <row r="17" spans="1:25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</row>
    <row r="19" spans="1:25">
      <c r="A19" s="10"/>
      <c r="B19" s="10"/>
    </row>
    <row r="20" spans="1:25">
      <c r="A20" s="10"/>
      <c r="B20" s="10"/>
    </row>
    <row r="21" spans="1:25">
      <c r="A21" s="10"/>
      <c r="B21" s="10"/>
    </row>
    <row r="22" spans="1:25">
      <c r="A22" s="10"/>
      <c r="B22" s="10"/>
    </row>
    <row r="23" spans="1:25">
      <c r="A23" s="10"/>
      <c r="B23" s="10"/>
    </row>
    <row r="24" spans="1:25">
      <c r="A24" s="10"/>
      <c r="B24" s="10"/>
    </row>
    <row r="25" spans="1:25">
      <c r="A25" s="10"/>
      <c r="B25" s="10"/>
    </row>
    <row r="26" spans="1:25">
      <c r="A26" s="10"/>
      <c r="B26" s="10"/>
    </row>
    <row r="27" spans="1:25">
      <c r="A27" s="10"/>
      <c r="B27" s="10"/>
    </row>
    <row r="28" spans="1:25">
      <c r="A28" s="10"/>
      <c r="B28" s="10"/>
    </row>
    <row r="29" spans="1:25">
      <c r="A29" s="10"/>
      <c r="B29" s="10"/>
    </row>
    <row r="30" spans="1:25">
      <c r="A30" s="9"/>
      <c r="B30" s="9"/>
    </row>
    <row r="31" spans="1:25">
      <c r="A31" s="9"/>
      <c r="B31" s="9"/>
    </row>
    <row r="32" spans="1:25">
      <c r="A32" s="10"/>
      <c r="B32" s="10"/>
    </row>
    <row r="33" spans="1:2">
      <c r="A33" s="10"/>
      <c r="B33" s="10"/>
    </row>
    <row r="34" spans="1:2">
      <c r="A34" s="10"/>
      <c r="B34" s="10"/>
    </row>
    <row r="35" spans="1:2">
      <c r="A35" s="10"/>
      <c r="B35" s="10"/>
    </row>
    <row r="36" spans="1:2">
      <c r="A36" s="10"/>
      <c r="B36" s="10"/>
    </row>
    <row r="37" spans="1:2">
      <c r="A37" s="10"/>
      <c r="B37" s="1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60"/>
  <sheetViews>
    <sheetView workbookViewId="0">
      <selection activeCell="C1" sqref="C1:C9"/>
    </sheetView>
  </sheetViews>
  <sheetFormatPr defaultRowHeight="15"/>
  <cols>
    <col min="1" max="1" width="8.7109375" bestFit="1" customWidth="1"/>
    <col min="2" max="2" width="4.7109375" bestFit="1" customWidth="1"/>
    <col min="3" max="3" width="11.7109375" bestFit="1" customWidth="1"/>
    <col min="4" max="4" width="10.85546875" bestFit="1" customWidth="1"/>
    <col min="5" max="5" width="9.85546875" bestFit="1" customWidth="1"/>
    <col min="6" max="6" width="10.85546875" bestFit="1" customWidth="1"/>
    <col min="7" max="7" width="7.42578125" bestFit="1" customWidth="1"/>
    <col min="8" max="8" width="14" bestFit="1" customWidth="1"/>
    <col min="9" max="9" width="3.7109375" bestFit="1" customWidth="1"/>
    <col min="10" max="10" width="23.28515625" bestFit="1" customWidth="1"/>
    <col min="11" max="11" width="21" bestFit="1" customWidth="1"/>
    <col min="12" max="12" width="21.42578125" bestFit="1" customWidth="1"/>
    <col min="13" max="13" width="17.42578125" bestFit="1" customWidth="1"/>
    <col min="14" max="14" width="24.42578125" bestFit="1" customWidth="1"/>
    <col min="15" max="15" width="72.7109375" bestFit="1" customWidth="1"/>
  </cols>
  <sheetData>
    <row r="1" spans="1:15" ht="92.25">
      <c r="A1" s="23" t="s">
        <v>45</v>
      </c>
      <c r="B1" s="24" t="s">
        <v>46</v>
      </c>
      <c r="C1" s="24" t="s">
        <v>151</v>
      </c>
      <c r="D1" s="24" t="s">
        <v>153</v>
      </c>
      <c r="E1" s="24" t="s">
        <v>154</v>
      </c>
      <c r="F1" s="24" t="s">
        <v>155</v>
      </c>
      <c r="G1" s="24" t="s">
        <v>156</v>
      </c>
      <c r="H1" s="24" t="s">
        <v>157</v>
      </c>
      <c r="I1" s="24" t="s">
        <v>158</v>
      </c>
      <c r="J1" s="24" t="s">
        <v>159</v>
      </c>
      <c r="K1" s="24" t="s">
        <v>160</v>
      </c>
      <c r="L1" s="24" t="s">
        <v>161</v>
      </c>
      <c r="M1" s="24" t="s">
        <v>162</v>
      </c>
      <c r="N1" s="24" t="s">
        <v>163</v>
      </c>
      <c r="O1" s="25" t="s">
        <v>152</v>
      </c>
    </row>
    <row r="2" spans="1:15">
      <c r="A2" s="19" t="s">
        <v>54</v>
      </c>
      <c r="B2" s="17" t="s">
        <v>55</v>
      </c>
      <c r="C2" s="17" t="str">
        <f>A2&amp;"-"&amp;B2</f>
        <v>HEC-LS</v>
      </c>
      <c r="D2" s="17" t="s">
        <v>13</v>
      </c>
      <c r="E2" s="17" t="s">
        <v>38</v>
      </c>
      <c r="F2" s="17" t="s">
        <v>148</v>
      </c>
      <c r="G2" s="17" t="s">
        <v>149</v>
      </c>
      <c r="H2" s="17" t="s">
        <v>150</v>
      </c>
      <c r="I2" s="17" t="s">
        <v>0</v>
      </c>
      <c r="J2" s="44" t="str">
        <f>IF(ISBLANK($A2),"",MID(J$1,1+LEN("File "),255) &amp;" - "&amp;HLOOKUP("Colour "&amp;MID(J$1,1+LEN("File "),255),$A$1:$I$22,1+ROW()-ROW($1:$1),0)&amp;".p2m")</f>
        <v>Sleeve - Black.p2m</v>
      </c>
      <c r="K2" s="44" t="str">
        <f>IF(ISBLANK($A2),"",MID(K$1,1+LEN("File "),255) &amp;" - "&amp;HLOOKUP("Colour "&amp;MID(K$1,1+LEN("File "),255),$A$1:$I$22,1+ROW()-ROW($1:$1),0)&amp;".p2m")</f>
        <v>Decal - Grey Light.p2m</v>
      </c>
      <c r="L2" s="44" t="str">
        <f t="shared" ref="L2:N17" si="0">IF(ISBLANK($A2),"",MID(L$1,1+LEN("File "),255) &amp;" - "&amp;HLOOKUP("Colour "&amp;MID(L$1,1+LEN("File "),255),$A$1:$I$22,1+ROW()-ROW($1:$1),0)&amp;".p2m")</f>
        <v>Case - Aluminium.p2m</v>
      </c>
      <c r="M2" s="44" t="str">
        <f t="shared" si="0"/>
        <v>Seal - Rubber.p2m</v>
      </c>
      <c r="N2" s="44" t="str">
        <f t="shared" si="0"/>
        <v>Lead - Stainless Steel.p2m</v>
      </c>
      <c r="O2" s="45" t="s">
        <v>44</v>
      </c>
    </row>
    <row r="3" spans="1:15">
      <c r="A3" s="19" t="s">
        <v>49</v>
      </c>
      <c r="B3" s="17" t="s">
        <v>50</v>
      </c>
      <c r="C3" s="17" t="str">
        <f t="shared" ref="C3:C9" si="1">A3&amp;"-"&amp;B3</f>
        <v>Hitano-ECR</v>
      </c>
      <c r="D3" s="17" t="s">
        <v>13</v>
      </c>
      <c r="E3" s="17" t="s">
        <v>38</v>
      </c>
      <c r="F3" s="17" t="s">
        <v>148</v>
      </c>
      <c r="G3" s="17" t="s">
        <v>149</v>
      </c>
      <c r="H3" s="17" t="s">
        <v>150</v>
      </c>
      <c r="I3" s="17" t="s">
        <v>11</v>
      </c>
      <c r="J3" s="44" t="str">
        <f t="shared" ref="J3:N21" si="2">IF(ISBLANK($A3),"",MID(J$1,1+LEN("File "),255) &amp;" - "&amp;HLOOKUP("Colour "&amp;MID(J$1,1+LEN("File "),255),$A$1:$I$22,1+ROW()-ROW($1:$1),0)&amp;".p2m")</f>
        <v>Sleeve - Black.p2m</v>
      </c>
      <c r="K3" s="44" t="str">
        <f t="shared" si="2"/>
        <v>Decal - Grey Light.p2m</v>
      </c>
      <c r="L3" s="44" t="str">
        <f t="shared" si="0"/>
        <v>Case - Aluminium.p2m</v>
      </c>
      <c r="M3" s="44" t="str">
        <f t="shared" si="0"/>
        <v>Seal - Rubber.p2m</v>
      </c>
      <c r="N3" s="44" t="str">
        <f t="shared" si="0"/>
        <v>Lead - Stainless Steel.p2m</v>
      </c>
      <c r="O3" s="45" t="s">
        <v>44</v>
      </c>
    </row>
    <row r="4" spans="1:15">
      <c r="A4" s="19" t="s">
        <v>49</v>
      </c>
      <c r="B4" s="17" t="s">
        <v>52</v>
      </c>
      <c r="C4" s="17" t="str">
        <f t="shared" si="1"/>
        <v>Hitano-EXR</v>
      </c>
      <c r="D4" s="17" t="s">
        <v>13</v>
      </c>
      <c r="E4" s="17" t="s">
        <v>15</v>
      </c>
      <c r="F4" s="17" t="s">
        <v>148</v>
      </c>
      <c r="G4" s="17" t="s">
        <v>149</v>
      </c>
      <c r="H4" s="17" t="s">
        <v>150</v>
      </c>
      <c r="I4" s="17" t="s">
        <v>12</v>
      </c>
      <c r="J4" s="44" t="str">
        <f t="shared" si="2"/>
        <v>Sleeve - Black.p2m</v>
      </c>
      <c r="K4" s="44" t="str">
        <f t="shared" si="2"/>
        <v>Decal - Gold.p2m</v>
      </c>
      <c r="L4" s="44" t="str">
        <f t="shared" si="0"/>
        <v>Case - Aluminium.p2m</v>
      </c>
      <c r="M4" s="44" t="str">
        <f t="shared" si="0"/>
        <v>Seal - Rubber.p2m</v>
      </c>
      <c r="N4" s="44" t="str">
        <f t="shared" si="0"/>
        <v>Lead - Stainless Steel.p2m</v>
      </c>
      <c r="O4" s="45" t="s">
        <v>44</v>
      </c>
    </row>
    <row r="5" spans="1:15">
      <c r="A5" s="19" t="s">
        <v>47</v>
      </c>
      <c r="B5" s="17" t="s">
        <v>48</v>
      </c>
      <c r="C5" s="17" t="str">
        <f t="shared" si="1"/>
        <v>Jamicon-SK</v>
      </c>
      <c r="D5" s="17" t="s">
        <v>13</v>
      </c>
      <c r="E5" s="17" t="s">
        <v>38</v>
      </c>
      <c r="F5" s="17" t="s">
        <v>148</v>
      </c>
      <c r="G5" s="17" t="s">
        <v>149</v>
      </c>
      <c r="H5" s="17" t="s">
        <v>150</v>
      </c>
      <c r="I5" s="17" t="s">
        <v>0</v>
      </c>
      <c r="J5" s="44" t="str">
        <f t="shared" si="2"/>
        <v>Sleeve - Black.p2m</v>
      </c>
      <c r="K5" s="44" t="str">
        <f t="shared" si="2"/>
        <v>Decal - Grey Light.p2m</v>
      </c>
      <c r="L5" s="44" t="str">
        <f t="shared" si="0"/>
        <v>Case - Aluminium.p2m</v>
      </c>
      <c r="M5" s="44" t="str">
        <f t="shared" si="0"/>
        <v>Seal - Rubber.p2m</v>
      </c>
      <c r="N5" s="44" t="str">
        <f t="shared" si="0"/>
        <v>Lead - Stainless Steel.p2m</v>
      </c>
      <c r="O5" s="45" t="s">
        <v>44</v>
      </c>
    </row>
    <row r="6" spans="1:15">
      <c r="A6" s="19" t="s">
        <v>47</v>
      </c>
      <c r="B6" s="17" t="s">
        <v>53</v>
      </c>
      <c r="C6" s="17" t="str">
        <f t="shared" si="1"/>
        <v>Jamicon-WL</v>
      </c>
      <c r="D6" s="17" t="s">
        <v>14</v>
      </c>
      <c r="E6" s="17" t="s">
        <v>15</v>
      </c>
      <c r="F6" s="17" t="s">
        <v>148</v>
      </c>
      <c r="G6" s="17" t="s">
        <v>149</v>
      </c>
      <c r="H6" s="17" t="s">
        <v>150</v>
      </c>
      <c r="I6" s="17" t="s">
        <v>0</v>
      </c>
      <c r="J6" s="44" t="str">
        <f t="shared" si="2"/>
        <v>Sleeve - Green Dark.p2m</v>
      </c>
      <c r="K6" s="44" t="str">
        <f t="shared" si="2"/>
        <v>Decal - Gold.p2m</v>
      </c>
      <c r="L6" s="44" t="str">
        <f t="shared" si="0"/>
        <v>Case - Aluminium.p2m</v>
      </c>
      <c r="M6" s="44" t="str">
        <f t="shared" si="0"/>
        <v>Seal - Rubber.p2m</v>
      </c>
      <c r="N6" s="44" t="str">
        <f t="shared" si="0"/>
        <v>Lead - Stainless Steel.p2m</v>
      </c>
      <c r="O6" s="45" t="s">
        <v>44</v>
      </c>
    </row>
    <row r="7" spans="1:15">
      <c r="A7" s="19" t="s">
        <v>57</v>
      </c>
      <c r="B7" s="17" t="s">
        <v>56</v>
      </c>
      <c r="C7" s="17" t="str">
        <f t="shared" si="1"/>
        <v>Nichicon-KX</v>
      </c>
      <c r="D7" s="17" t="s">
        <v>13</v>
      </c>
      <c r="E7" s="17" t="s">
        <v>38</v>
      </c>
      <c r="F7" s="17" t="s">
        <v>148</v>
      </c>
      <c r="G7" s="17" t="s">
        <v>149</v>
      </c>
      <c r="H7" s="17" t="s">
        <v>150</v>
      </c>
      <c r="I7" s="17" t="s">
        <v>12</v>
      </c>
      <c r="J7" s="44" t="str">
        <f t="shared" si="2"/>
        <v>Sleeve - Black.p2m</v>
      </c>
      <c r="K7" s="44" t="str">
        <f t="shared" si="2"/>
        <v>Decal - Grey Light.p2m</v>
      </c>
      <c r="L7" s="44" t="str">
        <f t="shared" si="0"/>
        <v>Case - Aluminium.p2m</v>
      </c>
      <c r="M7" s="44" t="str">
        <f t="shared" si="0"/>
        <v>Seal - Rubber.p2m</v>
      </c>
      <c r="N7" s="44" t="str">
        <f t="shared" si="0"/>
        <v>Lead - Stainless Steel.p2m</v>
      </c>
      <c r="O7" s="45" t="s">
        <v>44</v>
      </c>
    </row>
    <row r="8" spans="1:15">
      <c r="A8" s="19" t="s">
        <v>51</v>
      </c>
      <c r="B8" s="17" t="s">
        <v>64</v>
      </c>
      <c r="C8" s="17" t="str">
        <f t="shared" si="1"/>
        <v>Yihcon-TM1</v>
      </c>
      <c r="D8" s="17" t="s">
        <v>20</v>
      </c>
      <c r="E8" s="17" t="s">
        <v>13</v>
      </c>
      <c r="F8" s="17" t="s">
        <v>148</v>
      </c>
      <c r="G8" s="17" t="s">
        <v>149</v>
      </c>
      <c r="H8" s="17" t="s">
        <v>150</v>
      </c>
      <c r="I8" s="17" t="s">
        <v>12</v>
      </c>
      <c r="J8" s="44" t="str">
        <f t="shared" si="2"/>
        <v>Sleeve - Green.p2m</v>
      </c>
      <c r="K8" s="44" t="str">
        <f t="shared" si="2"/>
        <v>Decal - Black.p2m</v>
      </c>
      <c r="L8" s="44" t="str">
        <f t="shared" si="0"/>
        <v>Case - Aluminium.p2m</v>
      </c>
      <c r="M8" s="44" t="str">
        <f t="shared" si="0"/>
        <v>Seal - Rubber.p2m</v>
      </c>
      <c r="N8" s="44" t="str">
        <f t="shared" si="0"/>
        <v>Lead - Stainless Steel.p2m</v>
      </c>
      <c r="O8" s="45" t="s">
        <v>44</v>
      </c>
    </row>
    <row r="9" spans="1:15">
      <c r="A9" s="19" t="s">
        <v>51</v>
      </c>
      <c r="B9" s="17" t="s">
        <v>65</v>
      </c>
      <c r="C9" s="17" t="str">
        <f t="shared" si="1"/>
        <v>Yihcon-TM2</v>
      </c>
      <c r="D9" s="17" t="s">
        <v>13</v>
      </c>
      <c r="E9" s="17" t="s">
        <v>38</v>
      </c>
      <c r="F9" s="17" t="s">
        <v>148</v>
      </c>
      <c r="G9" s="17" t="s">
        <v>149</v>
      </c>
      <c r="H9" s="17" t="s">
        <v>150</v>
      </c>
      <c r="I9" s="17" t="s">
        <v>12</v>
      </c>
      <c r="J9" s="44" t="str">
        <f t="shared" si="2"/>
        <v>Sleeve - Black.p2m</v>
      </c>
      <c r="K9" s="44" t="str">
        <f t="shared" si="2"/>
        <v>Decal - Grey Light.p2m</v>
      </c>
      <c r="L9" s="44" t="str">
        <f t="shared" si="0"/>
        <v>Case - Aluminium.p2m</v>
      </c>
      <c r="M9" s="44" t="str">
        <f t="shared" si="0"/>
        <v>Seal - Rubber.p2m</v>
      </c>
      <c r="N9" s="44" t="str">
        <f t="shared" si="0"/>
        <v>Lead - Stainless Steel.p2m</v>
      </c>
      <c r="O9" s="45" t="s">
        <v>44</v>
      </c>
    </row>
    <row r="10" spans="1:15">
      <c r="A10" s="19"/>
      <c r="B10" s="17"/>
      <c r="C10" s="17"/>
      <c r="D10" s="17"/>
      <c r="E10" s="17"/>
      <c r="F10" s="17"/>
      <c r="G10" s="17"/>
      <c r="H10" s="17"/>
      <c r="I10" s="17"/>
      <c r="J10" s="44" t="str">
        <f t="shared" si="2"/>
        <v/>
      </c>
      <c r="K10" s="44" t="str">
        <f t="shared" si="2"/>
        <v/>
      </c>
      <c r="L10" s="44" t="str">
        <f t="shared" si="0"/>
        <v/>
      </c>
      <c r="M10" s="44" t="str">
        <f t="shared" si="0"/>
        <v/>
      </c>
      <c r="N10" s="44" t="str">
        <f t="shared" si="0"/>
        <v/>
      </c>
      <c r="O10" s="45" t="s">
        <v>44</v>
      </c>
    </row>
    <row r="11" spans="1:15">
      <c r="A11" s="19"/>
      <c r="B11" s="17"/>
      <c r="C11" s="17"/>
      <c r="D11" s="17"/>
      <c r="E11" s="17"/>
      <c r="F11" s="17"/>
      <c r="G11" s="17"/>
      <c r="H11" s="17"/>
      <c r="I11" s="17"/>
      <c r="J11" s="44" t="str">
        <f t="shared" si="2"/>
        <v/>
      </c>
      <c r="K11" s="44" t="str">
        <f t="shared" si="2"/>
        <v/>
      </c>
      <c r="L11" s="44" t="str">
        <f t="shared" si="0"/>
        <v/>
      </c>
      <c r="M11" s="44" t="str">
        <f t="shared" si="0"/>
        <v/>
      </c>
      <c r="N11" s="44" t="str">
        <f t="shared" si="0"/>
        <v/>
      </c>
      <c r="O11" s="45" t="s">
        <v>44</v>
      </c>
    </row>
    <row r="12" spans="1:15">
      <c r="A12" s="19"/>
      <c r="B12" s="17"/>
      <c r="C12" s="17"/>
      <c r="D12" s="17"/>
      <c r="E12" s="17"/>
      <c r="F12" s="17"/>
      <c r="G12" s="17"/>
      <c r="H12" s="17"/>
      <c r="I12" s="17"/>
      <c r="J12" s="44" t="str">
        <f t="shared" si="2"/>
        <v/>
      </c>
      <c r="K12" s="44" t="str">
        <f t="shared" si="2"/>
        <v/>
      </c>
      <c r="L12" s="44" t="str">
        <f t="shared" si="0"/>
        <v/>
      </c>
      <c r="M12" s="44" t="str">
        <f t="shared" si="0"/>
        <v/>
      </c>
      <c r="N12" s="44" t="str">
        <f t="shared" si="0"/>
        <v/>
      </c>
      <c r="O12" s="45" t="s">
        <v>44</v>
      </c>
    </row>
    <row r="13" spans="1:15">
      <c r="A13" s="19"/>
      <c r="B13" s="17"/>
      <c r="C13" s="17"/>
      <c r="D13" s="17"/>
      <c r="E13" s="17"/>
      <c r="F13" s="17"/>
      <c r="G13" s="17"/>
      <c r="H13" s="17"/>
      <c r="I13" s="17"/>
      <c r="J13" s="44" t="str">
        <f t="shared" si="2"/>
        <v/>
      </c>
      <c r="K13" s="44" t="str">
        <f t="shared" si="2"/>
        <v/>
      </c>
      <c r="L13" s="44" t="str">
        <f t="shared" si="0"/>
        <v/>
      </c>
      <c r="M13" s="44" t="str">
        <f t="shared" si="0"/>
        <v/>
      </c>
      <c r="N13" s="44" t="str">
        <f t="shared" si="0"/>
        <v/>
      </c>
      <c r="O13" s="45" t="s">
        <v>44</v>
      </c>
    </row>
    <row r="14" spans="1:15">
      <c r="A14" s="19"/>
      <c r="B14" s="17"/>
      <c r="C14" s="17"/>
      <c r="D14" s="17"/>
      <c r="E14" s="17"/>
      <c r="F14" s="17"/>
      <c r="G14" s="17"/>
      <c r="H14" s="17"/>
      <c r="I14" s="17"/>
      <c r="J14" s="44" t="str">
        <f t="shared" si="2"/>
        <v/>
      </c>
      <c r="K14" s="44" t="str">
        <f t="shared" si="2"/>
        <v/>
      </c>
      <c r="L14" s="44" t="str">
        <f t="shared" si="0"/>
        <v/>
      </c>
      <c r="M14" s="44" t="str">
        <f t="shared" si="0"/>
        <v/>
      </c>
      <c r="N14" s="44" t="str">
        <f t="shared" si="0"/>
        <v/>
      </c>
      <c r="O14" s="45" t="s">
        <v>44</v>
      </c>
    </row>
    <row r="15" spans="1:15">
      <c r="A15" s="19"/>
      <c r="B15" s="17"/>
      <c r="C15" s="17"/>
      <c r="D15" s="17"/>
      <c r="E15" s="17"/>
      <c r="F15" s="17"/>
      <c r="G15" s="17"/>
      <c r="H15" s="17"/>
      <c r="I15" s="17"/>
      <c r="J15" s="44" t="str">
        <f t="shared" si="2"/>
        <v/>
      </c>
      <c r="K15" s="44" t="str">
        <f t="shared" si="2"/>
        <v/>
      </c>
      <c r="L15" s="44" t="str">
        <f t="shared" si="0"/>
        <v/>
      </c>
      <c r="M15" s="44" t="str">
        <f t="shared" si="0"/>
        <v/>
      </c>
      <c r="N15" s="44" t="str">
        <f t="shared" si="0"/>
        <v/>
      </c>
      <c r="O15" s="45" t="s">
        <v>44</v>
      </c>
    </row>
    <row r="16" spans="1:15">
      <c r="A16" s="19"/>
      <c r="B16" s="17"/>
      <c r="C16" s="17"/>
      <c r="D16" s="17"/>
      <c r="E16" s="17"/>
      <c r="F16" s="17"/>
      <c r="G16" s="17"/>
      <c r="H16" s="17"/>
      <c r="I16" s="17"/>
      <c r="J16" s="44" t="str">
        <f t="shared" si="2"/>
        <v/>
      </c>
      <c r="K16" s="44" t="str">
        <f t="shared" si="2"/>
        <v/>
      </c>
      <c r="L16" s="44" t="str">
        <f t="shared" si="0"/>
        <v/>
      </c>
      <c r="M16" s="44" t="str">
        <f t="shared" si="0"/>
        <v/>
      </c>
      <c r="N16" s="44" t="str">
        <f t="shared" si="0"/>
        <v/>
      </c>
      <c r="O16" s="45" t="s">
        <v>44</v>
      </c>
    </row>
    <row r="17" spans="1:15">
      <c r="A17" s="19"/>
      <c r="B17" s="17"/>
      <c r="C17" s="17"/>
      <c r="D17" s="17"/>
      <c r="E17" s="17"/>
      <c r="F17" s="17"/>
      <c r="G17" s="17"/>
      <c r="H17" s="17"/>
      <c r="I17" s="17"/>
      <c r="J17" s="44" t="str">
        <f t="shared" si="2"/>
        <v/>
      </c>
      <c r="K17" s="44" t="str">
        <f t="shared" si="2"/>
        <v/>
      </c>
      <c r="L17" s="44" t="str">
        <f t="shared" si="0"/>
        <v/>
      </c>
      <c r="M17" s="44" t="str">
        <f t="shared" si="0"/>
        <v/>
      </c>
      <c r="N17" s="44" t="str">
        <f t="shared" si="0"/>
        <v/>
      </c>
      <c r="O17" s="45" t="s">
        <v>44</v>
      </c>
    </row>
    <row r="18" spans="1:15">
      <c r="A18" s="19"/>
      <c r="B18" s="17"/>
      <c r="C18" s="17"/>
      <c r="D18" s="17"/>
      <c r="E18" s="17"/>
      <c r="F18" s="17"/>
      <c r="G18" s="17"/>
      <c r="H18" s="17"/>
      <c r="I18" s="17"/>
      <c r="J18" s="44" t="str">
        <f t="shared" si="2"/>
        <v/>
      </c>
      <c r="K18" s="44" t="str">
        <f t="shared" si="2"/>
        <v/>
      </c>
      <c r="L18" s="44" t="str">
        <f t="shared" si="2"/>
        <v/>
      </c>
      <c r="M18" s="44" t="str">
        <f t="shared" si="2"/>
        <v/>
      </c>
      <c r="N18" s="44" t="str">
        <f t="shared" si="2"/>
        <v/>
      </c>
      <c r="O18" s="45" t="s">
        <v>44</v>
      </c>
    </row>
    <row r="19" spans="1:15">
      <c r="A19" s="19"/>
      <c r="B19" s="17"/>
      <c r="C19" s="17"/>
      <c r="D19" s="17"/>
      <c r="E19" s="17"/>
      <c r="F19" s="17"/>
      <c r="G19" s="17"/>
      <c r="H19" s="17"/>
      <c r="I19" s="17"/>
      <c r="J19" s="44" t="str">
        <f t="shared" si="2"/>
        <v/>
      </c>
      <c r="K19" s="44" t="str">
        <f t="shared" si="2"/>
        <v/>
      </c>
      <c r="L19" s="44" t="str">
        <f t="shared" si="2"/>
        <v/>
      </c>
      <c r="M19" s="44" t="str">
        <f t="shared" si="2"/>
        <v/>
      </c>
      <c r="N19" s="44" t="str">
        <f t="shared" si="2"/>
        <v/>
      </c>
      <c r="O19" s="45" t="s">
        <v>44</v>
      </c>
    </row>
    <row r="20" spans="1:15">
      <c r="A20" s="19"/>
      <c r="B20" s="17"/>
      <c r="C20" s="17"/>
      <c r="D20" s="17"/>
      <c r="E20" s="17"/>
      <c r="F20" s="17"/>
      <c r="G20" s="17"/>
      <c r="H20" s="17"/>
      <c r="I20" s="17"/>
      <c r="J20" s="44" t="str">
        <f t="shared" si="2"/>
        <v/>
      </c>
      <c r="K20" s="44" t="str">
        <f t="shared" si="2"/>
        <v/>
      </c>
      <c r="L20" s="44" t="str">
        <f t="shared" si="2"/>
        <v/>
      </c>
      <c r="M20" s="44" t="str">
        <f t="shared" si="2"/>
        <v/>
      </c>
      <c r="N20" s="44" t="str">
        <f t="shared" si="2"/>
        <v/>
      </c>
      <c r="O20" s="45" t="s">
        <v>44</v>
      </c>
    </row>
    <row r="21" spans="1:15">
      <c r="A21" s="19"/>
      <c r="B21" s="17"/>
      <c r="C21" s="17"/>
      <c r="D21" s="17"/>
      <c r="E21" s="17"/>
      <c r="F21" s="17"/>
      <c r="G21" s="17"/>
      <c r="H21" s="17"/>
      <c r="I21" s="17"/>
      <c r="J21" s="44" t="str">
        <f t="shared" si="2"/>
        <v/>
      </c>
      <c r="K21" s="44" t="str">
        <f t="shared" si="2"/>
        <v/>
      </c>
      <c r="L21" s="44" t="str">
        <f t="shared" si="2"/>
        <v/>
      </c>
      <c r="M21" s="44" t="str">
        <f t="shared" si="2"/>
        <v/>
      </c>
      <c r="N21" s="44" t="str">
        <f t="shared" si="2"/>
        <v/>
      </c>
      <c r="O21" s="45" t="s">
        <v>44</v>
      </c>
    </row>
    <row r="22" spans="1:15" ht="15.75" thickBot="1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40"/>
      <c r="M22" s="40"/>
      <c r="N22" s="40"/>
      <c r="O22" s="22"/>
    </row>
    <row r="26" spans="1:15" ht="21" customHeight="1">
      <c r="D26" s="41"/>
      <c r="E26" s="41"/>
      <c r="F26" s="42"/>
      <c r="G26" s="42"/>
      <c r="H26" s="42"/>
      <c r="O26" s="43"/>
    </row>
    <row r="27" spans="1:15">
      <c r="D27" s="41"/>
      <c r="E27" s="41"/>
      <c r="F27" s="42"/>
      <c r="G27" s="42"/>
      <c r="H27" s="42"/>
      <c r="O27" s="43"/>
    </row>
    <row r="28" spans="1:15">
      <c r="D28" s="41"/>
      <c r="E28" s="41"/>
      <c r="F28" s="42"/>
      <c r="G28" s="42"/>
      <c r="H28" s="42"/>
      <c r="O28" s="43"/>
    </row>
    <row r="29" spans="1:15">
      <c r="D29" s="41"/>
      <c r="E29" s="41"/>
      <c r="F29" s="42"/>
      <c r="G29" s="42"/>
      <c r="H29" s="42"/>
      <c r="O29" s="43"/>
    </row>
    <row r="30" spans="1:15">
      <c r="D30" s="41"/>
      <c r="E30" s="41"/>
      <c r="F30" s="42"/>
      <c r="G30" s="42"/>
      <c r="H30" s="42"/>
      <c r="O30" s="43"/>
    </row>
    <row r="31" spans="1:15">
      <c r="D31" s="41"/>
      <c r="E31" s="41"/>
      <c r="F31" s="42"/>
      <c r="G31" s="42"/>
      <c r="H31" s="42"/>
      <c r="O31" s="43"/>
    </row>
    <row r="32" spans="1:15">
      <c r="D32" s="41"/>
      <c r="E32" s="41"/>
      <c r="F32" s="42"/>
      <c r="G32" s="42"/>
      <c r="H32" s="42"/>
      <c r="O32" s="43"/>
    </row>
    <row r="33" spans="4:15">
      <c r="D33" s="41"/>
      <c r="E33" s="41"/>
      <c r="F33" s="42"/>
      <c r="G33" s="42"/>
      <c r="H33" s="42"/>
      <c r="O33" s="43"/>
    </row>
    <row r="34" spans="4:15">
      <c r="D34" s="41"/>
      <c r="E34" s="41"/>
      <c r="F34" s="42"/>
      <c r="G34" s="42"/>
      <c r="H34" s="42"/>
      <c r="O34" s="43"/>
    </row>
    <row r="35" spans="4:15">
      <c r="D35" s="41"/>
      <c r="E35" s="41"/>
      <c r="F35" s="42"/>
      <c r="G35" s="42"/>
      <c r="H35" s="42"/>
      <c r="O35" s="43"/>
    </row>
    <row r="36" spans="4:15">
      <c r="D36" s="41"/>
      <c r="E36" s="41"/>
      <c r="F36" s="42"/>
      <c r="G36" s="42"/>
      <c r="H36" s="42"/>
      <c r="O36" s="43"/>
    </row>
    <row r="37" spans="4:15">
      <c r="D37" s="41"/>
      <c r="E37" s="41"/>
      <c r="F37" s="42"/>
      <c r="G37" s="42"/>
      <c r="H37" s="42"/>
      <c r="O37" s="43"/>
    </row>
    <row r="38" spans="4:15">
      <c r="D38" s="41"/>
      <c r="E38" s="41"/>
      <c r="F38" s="42"/>
      <c r="G38" s="42"/>
      <c r="H38" s="42"/>
      <c r="O38" s="43"/>
    </row>
    <row r="39" spans="4:15">
      <c r="D39" s="41"/>
      <c r="E39" s="41"/>
      <c r="F39" s="42"/>
      <c r="G39" s="42"/>
      <c r="H39" s="42"/>
      <c r="O39" s="43"/>
    </row>
    <row r="40" spans="4:15">
      <c r="D40" s="41"/>
      <c r="E40" s="41"/>
      <c r="F40" s="42"/>
      <c r="G40" s="42"/>
      <c r="H40" s="42"/>
      <c r="O40" s="43"/>
    </row>
    <row r="60" spans="1:1" ht="51" customHeight="1">
      <c r="A60" s="4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D3" sqref="D3"/>
    </sheetView>
  </sheetViews>
  <sheetFormatPr defaultRowHeight="15"/>
  <cols>
    <col min="3" max="3" width="11.7109375" bestFit="1" customWidth="1"/>
    <col min="4" max="4" width="13.28515625" bestFit="1" customWidth="1"/>
    <col min="5" max="5" width="20.5703125" bestFit="1" customWidth="1"/>
    <col min="6" max="6" width="8.5703125" customWidth="1"/>
    <col min="8" max="8" width="21.42578125" bestFit="1" customWidth="1"/>
    <col min="9" max="9" width="5.5703125" style="5" bestFit="1" customWidth="1"/>
    <col min="11" max="11" width="16.140625" bestFit="1" customWidth="1"/>
    <col min="12" max="12" width="5.5703125" style="5" bestFit="1" customWidth="1"/>
    <col min="13" max="13" width="37.28515625" bestFit="1" customWidth="1"/>
    <col min="15" max="15" width="11.28515625" customWidth="1"/>
  </cols>
  <sheetData>
    <row r="1" spans="1:14" ht="105.75">
      <c r="A1" s="15" t="s">
        <v>45</v>
      </c>
      <c r="B1" s="15" t="s">
        <v>46</v>
      </c>
      <c r="C1" s="30" t="s">
        <v>151</v>
      </c>
      <c r="D1" s="46" t="s">
        <v>168</v>
      </c>
      <c r="E1" s="46" t="s">
        <v>171</v>
      </c>
      <c r="F1" s="46" t="s">
        <v>182</v>
      </c>
      <c r="G1" s="48" t="s">
        <v>169</v>
      </c>
      <c r="H1" s="48" t="s">
        <v>173</v>
      </c>
      <c r="I1" s="48" t="s">
        <v>183</v>
      </c>
      <c r="J1" s="50" t="s">
        <v>170</v>
      </c>
      <c r="K1" s="50" t="s">
        <v>174</v>
      </c>
      <c r="L1" s="50" t="s">
        <v>184</v>
      </c>
    </row>
    <row r="2" spans="1:14">
      <c r="A2" s="35" t="s">
        <v>54</v>
      </c>
      <c r="B2" s="6" t="s">
        <v>55</v>
      </c>
      <c r="C2" s="37" t="str">
        <f t="shared" ref="C2:C9" si="0">A2&amp;"-"&amp;B2</f>
        <v>HEC-LS</v>
      </c>
      <c r="D2" s="47" t="s">
        <v>167</v>
      </c>
      <c r="E2" s="47" t="s">
        <v>172</v>
      </c>
      <c r="F2" s="53">
        <v>1</v>
      </c>
      <c r="G2" s="49" t="s">
        <v>176</v>
      </c>
      <c r="H2" s="49" t="s">
        <v>175</v>
      </c>
      <c r="I2" s="55">
        <v>0.6</v>
      </c>
      <c r="J2" s="51" t="s">
        <v>176</v>
      </c>
      <c r="K2" s="51" t="s">
        <v>175</v>
      </c>
      <c r="L2" s="54">
        <v>1</v>
      </c>
    </row>
    <row r="3" spans="1:14">
      <c r="A3" s="35" t="s">
        <v>49</v>
      </c>
      <c r="B3" s="6" t="s">
        <v>50</v>
      </c>
      <c r="C3" s="37" t="str">
        <f t="shared" si="0"/>
        <v>Hitano-ECR</v>
      </c>
      <c r="D3" s="47" t="s">
        <v>178</v>
      </c>
      <c r="E3" s="47" t="s">
        <v>210</v>
      </c>
      <c r="F3" s="53">
        <v>1</v>
      </c>
      <c r="G3" s="49" t="s">
        <v>176</v>
      </c>
      <c r="H3" s="49" t="s">
        <v>175</v>
      </c>
      <c r="I3" s="55">
        <v>1</v>
      </c>
      <c r="J3" s="51" t="s">
        <v>176</v>
      </c>
      <c r="K3" s="51" t="s">
        <v>175</v>
      </c>
      <c r="L3" s="54">
        <v>1</v>
      </c>
      <c r="M3" s="52" t="s">
        <v>179</v>
      </c>
      <c r="N3" s="47" t="s">
        <v>210</v>
      </c>
    </row>
    <row r="4" spans="1:14">
      <c r="A4" s="35" t="s">
        <v>49</v>
      </c>
      <c r="B4" s="6" t="s">
        <v>52</v>
      </c>
      <c r="C4" s="37" t="str">
        <f t="shared" si="0"/>
        <v>Hitano-EXR</v>
      </c>
      <c r="D4" s="47" t="s">
        <v>178</v>
      </c>
      <c r="E4" s="47" t="s">
        <v>210</v>
      </c>
      <c r="F4" s="53">
        <v>1</v>
      </c>
      <c r="G4" s="49" t="s">
        <v>176</v>
      </c>
      <c r="H4" s="49" t="s">
        <v>175</v>
      </c>
      <c r="I4" s="55">
        <v>1</v>
      </c>
      <c r="J4" s="51" t="s">
        <v>176</v>
      </c>
      <c r="K4" s="51" t="s">
        <v>175</v>
      </c>
      <c r="L4" s="54">
        <v>1</v>
      </c>
    </row>
    <row r="5" spans="1:14">
      <c r="A5" s="35" t="s">
        <v>47</v>
      </c>
      <c r="B5" s="6" t="s">
        <v>48</v>
      </c>
      <c r="C5" s="37" t="str">
        <f t="shared" si="0"/>
        <v>Jamicon-SK</v>
      </c>
      <c r="D5" s="47" t="s">
        <v>180</v>
      </c>
      <c r="E5" s="47" t="s">
        <v>185</v>
      </c>
      <c r="F5" s="53">
        <v>1</v>
      </c>
      <c r="G5" s="49" t="s">
        <v>176</v>
      </c>
      <c r="H5" s="49" t="s">
        <v>175</v>
      </c>
      <c r="I5" s="55">
        <v>0.6</v>
      </c>
      <c r="J5" s="51" t="s">
        <v>176</v>
      </c>
      <c r="K5" s="51" t="s">
        <v>175</v>
      </c>
      <c r="L5" s="54">
        <v>1</v>
      </c>
      <c r="M5" s="47" t="s">
        <v>185</v>
      </c>
      <c r="N5" s="55">
        <v>0.7</v>
      </c>
    </row>
    <row r="6" spans="1:14">
      <c r="A6" s="35" t="s">
        <v>47</v>
      </c>
      <c r="B6" s="6" t="s">
        <v>53</v>
      </c>
      <c r="C6" s="37" t="str">
        <f t="shared" si="0"/>
        <v>Jamicon-WL</v>
      </c>
      <c r="D6" s="47" t="s">
        <v>180</v>
      </c>
      <c r="E6" s="47" t="s">
        <v>185</v>
      </c>
      <c r="F6" s="53">
        <v>1</v>
      </c>
      <c r="G6" s="49" t="s">
        <v>176</v>
      </c>
      <c r="H6" s="49" t="s">
        <v>175</v>
      </c>
      <c r="I6" s="55">
        <v>0.6</v>
      </c>
      <c r="J6" s="51" t="s">
        <v>176</v>
      </c>
      <c r="K6" s="51" t="s">
        <v>175</v>
      </c>
      <c r="L6" s="54">
        <v>1</v>
      </c>
      <c r="M6" s="47" t="s">
        <v>181</v>
      </c>
      <c r="N6" s="55">
        <v>0.7</v>
      </c>
    </row>
    <row r="7" spans="1:14">
      <c r="A7" s="35" t="s">
        <v>57</v>
      </c>
      <c r="B7" s="6" t="s">
        <v>56</v>
      </c>
      <c r="C7" s="37" t="str">
        <f t="shared" si="0"/>
        <v>Nichicon-KX</v>
      </c>
      <c r="D7" s="47" t="s">
        <v>178</v>
      </c>
      <c r="E7" s="47" t="s">
        <v>210</v>
      </c>
      <c r="F7" s="53">
        <v>1</v>
      </c>
      <c r="G7" s="49" t="s">
        <v>176</v>
      </c>
      <c r="H7" s="49" t="s">
        <v>175</v>
      </c>
      <c r="I7" s="55">
        <v>1</v>
      </c>
      <c r="J7" s="51" t="s">
        <v>176</v>
      </c>
      <c r="K7" s="51" t="s">
        <v>175</v>
      </c>
      <c r="L7" s="54">
        <v>1</v>
      </c>
    </row>
    <row r="8" spans="1:14">
      <c r="A8" s="35" t="s">
        <v>51</v>
      </c>
      <c r="B8" s="6" t="s">
        <v>64</v>
      </c>
      <c r="C8" s="37" t="str">
        <f t="shared" si="0"/>
        <v>Yihcon-TM1</v>
      </c>
      <c r="D8" s="47" t="s">
        <v>167</v>
      </c>
      <c r="E8" s="47" t="s">
        <v>175</v>
      </c>
      <c r="F8" s="53">
        <v>1</v>
      </c>
      <c r="G8" s="49" t="s">
        <v>176</v>
      </c>
      <c r="H8" s="49" t="s">
        <v>175</v>
      </c>
      <c r="I8" s="55">
        <v>0.9</v>
      </c>
      <c r="J8" s="51" t="s">
        <v>176</v>
      </c>
      <c r="K8" s="51" t="s">
        <v>175</v>
      </c>
      <c r="L8" s="54">
        <v>1</v>
      </c>
    </row>
    <row r="9" spans="1:14" ht="31.5">
      <c r="A9" s="35" t="s">
        <v>51</v>
      </c>
      <c r="B9" s="6" t="s">
        <v>65</v>
      </c>
      <c r="C9" s="37" t="str">
        <f t="shared" si="0"/>
        <v>Yihcon-TM2</v>
      </c>
      <c r="D9" s="47" t="s">
        <v>167</v>
      </c>
      <c r="E9" s="47" t="s">
        <v>175</v>
      </c>
      <c r="F9" s="53">
        <v>1</v>
      </c>
      <c r="G9" s="49" t="s">
        <v>176</v>
      </c>
      <c r="H9" s="49" t="s">
        <v>175</v>
      </c>
      <c r="I9" s="55">
        <v>0.9</v>
      </c>
      <c r="J9" s="51" t="s">
        <v>176</v>
      </c>
      <c r="K9" s="51" t="s">
        <v>175</v>
      </c>
      <c r="L9" s="54">
        <v>1</v>
      </c>
      <c r="M9" s="65" t="s">
        <v>209</v>
      </c>
    </row>
    <row r="12" spans="1:14">
      <c r="M12" s="47" t="s">
        <v>181</v>
      </c>
    </row>
    <row r="13" spans="1:14">
      <c r="M13" s="49" t="s">
        <v>175</v>
      </c>
    </row>
  </sheetData>
  <sortState ref="A2:I9">
    <sortCondition ref="C2:C9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6"/>
  <sheetViews>
    <sheetView workbookViewId="0">
      <selection activeCell="R1" sqref="R1"/>
    </sheetView>
  </sheetViews>
  <sheetFormatPr defaultRowHeight="15"/>
  <cols>
    <col min="2" max="2" width="10.85546875" bestFit="1" customWidth="1"/>
    <col min="3" max="3" width="15.5703125" bestFit="1" customWidth="1"/>
    <col min="4" max="4" width="9" bestFit="1" customWidth="1"/>
    <col min="5" max="5" width="7.42578125" bestFit="1" customWidth="1"/>
    <col min="6" max="6" width="12.42578125" bestFit="1" customWidth="1"/>
    <col min="7" max="7" width="9.5703125" bestFit="1" customWidth="1"/>
    <col min="8" max="8" width="16" customWidth="1"/>
    <col min="9" max="9" width="17" bestFit="1" customWidth="1"/>
    <col min="10" max="10" width="8.5703125" bestFit="1" customWidth="1"/>
    <col min="11" max="11" width="13.42578125" bestFit="1" customWidth="1"/>
    <col min="12" max="12" width="14.85546875" bestFit="1" customWidth="1"/>
    <col min="13" max="13" width="11.5703125" bestFit="1" customWidth="1"/>
    <col min="14" max="14" width="10.28515625" bestFit="1" customWidth="1"/>
    <col min="15" max="17" width="4" bestFit="1" customWidth="1"/>
  </cols>
  <sheetData>
    <row r="1" spans="1:17"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  <c r="N1" s="5" t="s">
        <v>40</v>
      </c>
      <c r="O1" t="s">
        <v>41</v>
      </c>
      <c r="P1" t="s">
        <v>42</v>
      </c>
      <c r="Q1" t="s">
        <v>43</v>
      </c>
    </row>
    <row r="2" spans="1:17">
      <c r="A2" t="s">
        <v>39</v>
      </c>
      <c r="B2" t="s">
        <v>13</v>
      </c>
      <c r="C2" t="b">
        <v>0</v>
      </c>
      <c r="D2">
        <v>1052688</v>
      </c>
      <c r="E2">
        <v>1</v>
      </c>
      <c r="F2" t="b">
        <v>1</v>
      </c>
      <c r="G2">
        <v>0</v>
      </c>
      <c r="H2" s="13">
        <v>0.15000000596046401</v>
      </c>
      <c r="I2">
        <v>0</v>
      </c>
      <c r="J2">
        <v>0.4</v>
      </c>
      <c r="K2">
        <v>16777215</v>
      </c>
      <c r="L2">
        <v>0.60000002384185802</v>
      </c>
      <c r="M2">
        <v>0</v>
      </c>
      <c r="N2" s="5" t="str">
        <f>"#"&amp;DEC2HEX(D2,6)</f>
        <v>#101010</v>
      </c>
      <c r="O2">
        <f>($D2-MOD($D2,65536))/65536</f>
        <v>16</v>
      </c>
      <c r="P2">
        <f>(MOD($D2,65536)-$Q2)/256</f>
        <v>16</v>
      </c>
      <c r="Q2">
        <f>MOD($D2,256)</f>
        <v>16</v>
      </c>
    </row>
    <row r="3" spans="1:17">
      <c r="A3" t="s">
        <v>39</v>
      </c>
      <c r="B3" t="s">
        <v>20</v>
      </c>
      <c r="C3" t="b">
        <v>0</v>
      </c>
      <c r="D3">
        <v>5548361</v>
      </c>
      <c r="E3">
        <v>1</v>
      </c>
      <c r="F3" t="b">
        <v>1</v>
      </c>
      <c r="G3">
        <v>0</v>
      </c>
      <c r="H3" s="13">
        <v>5.0000000745058101E-2</v>
      </c>
      <c r="I3">
        <v>0</v>
      </c>
      <c r="J3">
        <v>0.3</v>
      </c>
      <c r="K3">
        <v>16777215</v>
      </c>
      <c r="L3">
        <v>0.5</v>
      </c>
      <c r="M3">
        <v>0</v>
      </c>
      <c r="N3" s="5" t="str">
        <f t="shared" ref="N3:N5" si="0">"#"&amp;DEC2HEX(D3,6)</f>
        <v>#54A949</v>
      </c>
      <c r="O3">
        <f>($D3-MOD($D3,65536))/65536</f>
        <v>84</v>
      </c>
      <c r="P3">
        <f t="shared" ref="P3:P5" si="1">(MOD($D3,65536)-$Q3)/256</f>
        <v>169</v>
      </c>
      <c r="Q3">
        <f t="shared" ref="Q3:Q5" si="2">MOD($D3,256)</f>
        <v>73</v>
      </c>
    </row>
    <row r="4" spans="1:17">
      <c r="A4" t="s">
        <v>39</v>
      </c>
      <c r="B4" t="s">
        <v>14</v>
      </c>
      <c r="C4" t="b">
        <v>0</v>
      </c>
      <c r="D4">
        <v>5124</v>
      </c>
      <c r="E4">
        <v>1</v>
      </c>
      <c r="F4" t="b">
        <v>1</v>
      </c>
      <c r="G4">
        <v>0</v>
      </c>
      <c r="H4" s="13">
        <v>5.0000000745058101E-2</v>
      </c>
      <c r="I4">
        <v>0</v>
      </c>
      <c r="J4">
        <v>0.3</v>
      </c>
      <c r="K4">
        <v>16777215</v>
      </c>
      <c r="L4">
        <v>0.5</v>
      </c>
      <c r="M4">
        <v>0</v>
      </c>
      <c r="N4" s="5" t="str">
        <f t="shared" si="0"/>
        <v>#001404</v>
      </c>
      <c r="O4">
        <f t="shared" ref="O4:O5" si="3">($D4-MOD($D4,65536))/65536</f>
        <v>0</v>
      </c>
      <c r="P4">
        <f t="shared" si="1"/>
        <v>20</v>
      </c>
      <c r="Q4">
        <f t="shared" si="2"/>
        <v>4</v>
      </c>
    </row>
    <row r="5" spans="1:17">
      <c r="A5" t="s">
        <v>39</v>
      </c>
      <c r="B5" t="s">
        <v>38</v>
      </c>
      <c r="C5" t="b">
        <v>0</v>
      </c>
      <c r="D5">
        <f>160*65536+160*256+160</f>
        <v>10526880</v>
      </c>
      <c r="E5">
        <v>1</v>
      </c>
      <c r="F5" t="b">
        <v>1</v>
      </c>
      <c r="G5">
        <v>0</v>
      </c>
      <c r="H5" s="13">
        <v>5.0000000745058101E-2</v>
      </c>
      <c r="I5">
        <v>0</v>
      </c>
      <c r="J5">
        <v>0.3</v>
      </c>
      <c r="K5">
        <v>16777215</v>
      </c>
      <c r="L5">
        <v>0.5</v>
      </c>
      <c r="M5">
        <v>0</v>
      </c>
      <c r="N5" s="5" t="str">
        <f t="shared" si="0"/>
        <v>#A0A0A0</v>
      </c>
      <c r="O5">
        <f t="shared" si="3"/>
        <v>160</v>
      </c>
      <c r="P5">
        <f t="shared" si="1"/>
        <v>160</v>
      </c>
      <c r="Q5">
        <f t="shared" si="2"/>
        <v>160</v>
      </c>
    </row>
    <row r="6" spans="1:17">
      <c r="B6" t="s">
        <v>15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A12" sqref="A12"/>
    </sheetView>
  </sheetViews>
  <sheetFormatPr defaultRowHeight="15"/>
  <cols>
    <col min="1" max="1" width="4.85546875" customWidth="1"/>
    <col min="2" max="2" width="27.28515625" bestFit="1" customWidth="1"/>
  </cols>
  <sheetData>
    <row r="1" spans="1:2">
      <c r="A1" s="66" t="s">
        <v>192</v>
      </c>
      <c r="B1" s="66"/>
    </row>
    <row r="2" spans="1:2">
      <c r="A2">
        <v>0</v>
      </c>
      <c r="B2" t="s">
        <v>193</v>
      </c>
    </row>
    <row r="3" spans="1:2">
      <c r="A3">
        <v>1</v>
      </c>
      <c r="B3" t="s">
        <v>200</v>
      </c>
    </row>
    <row r="4" spans="1:2">
      <c r="A4">
        <v>2</v>
      </c>
      <c r="B4" t="s">
        <v>201</v>
      </c>
    </row>
    <row r="5" spans="1:2">
      <c r="A5">
        <v>3</v>
      </c>
      <c r="B5" t="s">
        <v>198</v>
      </c>
    </row>
    <row r="6" spans="1:2">
      <c r="A6">
        <v>4</v>
      </c>
      <c r="B6" t="s">
        <v>194</v>
      </c>
    </row>
    <row r="7" spans="1:2">
      <c r="A7">
        <v>5</v>
      </c>
      <c r="B7" t="s">
        <v>196</v>
      </c>
    </row>
    <row r="8" spans="1:2">
      <c r="A8">
        <v>6</v>
      </c>
      <c r="B8" t="s">
        <v>197</v>
      </c>
    </row>
    <row r="9" spans="1:2">
      <c r="A9">
        <v>15</v>
      </c>
      <c r="B9" t="s">
        <v>199</v>
      </c>
    </row>
    <row r="10" spans="1:2">
      <c r="A10">
        <v>16</v>
      </c>
      <c r="B10" t="s">
        <v>195</v>
      </c>
    </row>
    <row r="11" spans="1:2">
      <c r="A11">
        <f>rptUntilExtent+rptNumberIsMinimum</f>
        <v>17</v>
      </c>
      <c r="B11" t="s">
        <v>202</v>
      </c>
    </row>
    <row r="12" spans="1:2">
      <c r="A12">
        <f>rptUntilExtentThenFit+rptNumberIsMinimum</f>
        <v>18</v>
      </c>
      <c r="B12" t="s">
        <v>203</v>
      </c>
    </row>
    <row r="13" spans="1:2">
      <c r="A13">
        <f>rptOverExtent+rptNumberIsMinimum</f>
        <v>19</v>
      </c>
      <c r="B13" t="s">
        <v>204</v>
      </c>
    </row>
    <row r="14" spans="1:2">
      <c r="A14">
        <f>rptOverExtentThenFit+rptNumberIsMinimum</f>
        <v>20</v>
      </c>
      <c r="B14" t="s">
        <v>205</v>
      </c>
    </row>
    <row r="15" spans="1:2">
      <c r="A15">
        <f>rptNumberOfTimes+rptNumberIsMinimum</f>
        <v>21</v>
      </c>
      <c r="B15" t="s">
        <v>206</v>
      </c>
    </row>
    <row r="16" spans="1:2">
      <c r="A16">
        <f>rptNumberOfTimesOfLineNo+rptNumberIsMinimum</f>
        <v>22</v>
      </c>
      <c r="B16" t="s">
        <v>207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22</vt:i4>
      </vt:variant>
    </vt:vector>
  </HeadingPairs>
  <TitlesOfParts>
    <vt:vector size="29" baseType="lpstr">
      <vt:lpstr>Capacitors</vt:lpstr>
      <vt:lpstr>Packages</vt:lpstr>
      <vt:lpstr>Lead Tables</vt:lpstr>
      <vt:lpstr>Appearances Table</vt:lpstr>
      <vt:lpstr>TextFormats</vt:lpstr>
      <vt:lpstr>swAppearances</vt:lpstr>
      <vt:lpstr>Validate</vt:lpstr>
      <vt:lpstr>HitanoLeadTable</vt:lpstr>
      <vt:lpstr>HitanoLeadTableHeaders</vt:lpstr>
      <vt:lpstr>JamiconLeadTable</vt:lpstr>
      <vt:lpstr>JamiconLeadTableHeaders</vt:lpstr>
      <vt:lpstr>PackageHeaders</vt:lpstr>
      <vt:lpstr>PackageValues</vt:lpstr>
      <vt:lpstr>rptMinNumberOfTimes</vt:lpstr>
      <vt:lpstr>rptMinNumberOfTimesOfLineNo</vt:lpstr>
      <vt:lpstr>rptMinOverExtent</vt:lpstr>
      <vt:lpstr>rptMinOverExtentThenFit</vt:lpstr>
      <vt:lpstr>rptMinUntilExtent</vt:lpstr>
      <vt:lpstr>rptMinUntilExtentThenFit</vt:lpstr>
      <vt:lpstr>rptNone</vt:lpstr>
      <vt:lpstr>rptNumberIsMinimum</vt:lpstr>
      <vt:lpstr>rptNumberOfTimes</vt:lpstr>
      <vt:lpstr>rptNumberOfTimesOfLineNo</vt:lpstr>
      <vt:lpstr>rptOverExtent</vt:lpstr>
      <vt:lpstr>rptOverExtentThenFit</vt:lpstr>
      <vt:lpstr>rptTextMASK</vt:lpstr>
      <vt:lpstr>rptUntilExtent</vt:lpstr>
      <vt:lpstr>rptUntilExtentThenFit</vt:lpstr>
      <vt:lpstr>TextRepeatTypes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2016-04-16T14:12:12Z</dcterms:created>
  <dcterms:modified xsi:type="dcterms:W3CDTF">2016-07-29T19:58:43Z</dcterms:modified>
</cp:coreProperties>
</file>