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4725" yWindow="2265" windowWidth="16770" windowHeight="11820"/>
  </bookViews>
  <sheets>
    <sheet name="Sheet1" sheetId="3" r:id="rId1"/>
    <sheet name="_SWX" sheetId="4" state="veryHidden" r:id="rId2"/>
    <sheet name="Design Table Calc1" sheetId="1" r:id="rId3"/>
    <sheet name="Package Dimensions" sheetId="2" r:id="rId4"/>
  </sheets>
  <definedNames>
    <definedName name="_SWX_0">_SWX!$A$2:$A$22</definedName>
    <definedName name="Case_Circumference">'Design Table Calc1'!$BW1</definedName>
    <definedName name="Case_Diameter">'Design Table Calc1'!$BI1</definedName>
    <definedName name="Case_Length">'Design Table Calc1'!$BM1</definedName>
    <definedName name="Cathode_Indicator_Ring_Width">'Design Table Calc1'!$BO1</definedName>
    <definedName name="Config_Lead_Spacing">'Design Table Calc1'!$BC1</definedName>
    <definedName name="Config_Stand_Off">'Design Table Calc1'!$BF1</definedName>
    <definedName name="End_Fillet_Radius">'Design Table Calc1'!$BL1</definedName>
    <definedName name="Family">Sheet1!$A$2</definedName>
    <definedName name="Lead_Bend_Radius">'Design Table Calc1'!$BX1</definedName>
    <definedName name="Lead_Diameter">'Design Table Calc1'!$BN1</definedName>
    <definedName name="Lead_Extend_Length">'Design Table Calc1'!$BU1</definedName>
    <definedName name="Lead_Length">'Design Table Calc1'!$BJ1</definedName>
    <definedName name="Lead_Spacing">'Design Table Calc1'!$BV1</definedName>
    <definedName name="Lead_Spacing__mils">'Design Table Calc1'!$BA1</definedName>
    <definedName name="Lead_Spacing_Increment">'Design Table Calc1'!$BB1</definedName>
    <definedName name="Lead_Spacing_Text">'Design Table Calc1'!$BG1</definedName>
    <definedName name="Package">'Design Table Calc1'!$AZ1</definedName>
    <definedName name="Parent?">'Design Table Calc1'!$AY1</definedName>
    <definedName name="PkgInstanceHdr">'Design Table Calc1'!$AY$2:$CJ$2</definedName>
    <definedName name="PkgInstanceValues">'Design Table Calc1'!$AY1:$CJ1</definedName>
    <definedName name="PkgTable">'Package Dimensions'!$A$3:$CI$103</definedName>
    <definedName name="PkgTblHdr">'Package Dimensions'!$A$2:$CI$2</definedName>
    <definedName name="Protrusion_Length">'Design Table Calc1'!$BT$3</definedName>
    <definedName name="Stand_Off">'Design Table Calc1'!$BD$3</definedName>
    <definedName name="Stand_Off_Increment">'Design Table Calc1'!$BE$3</definedName>
    <definedName name="Stand_Off_Text">'Design Table Calc1'!$BH$3</definedName>
    <definedName name="Text_Height">'Design Table Calc1'!$BP$3</definedName>
  </definedNames>
  <calcPr calcId="125725"/>
</workbook>
</file>

<file path=xl/calcChain.xml><?xml version="1.0" encoding="utf-8"?>
<calcChain xmlns="http://schemas.openxmlformats.org/spreadsheetml/2006/main">
  <c r="AK4" i="1"/>
  <c r="AL4"/>
  <c r="AM4"/>
  <c r="AK6"/>
  <c r="AL6"/>
  <c r="AM6"/>
  <c r="AK7"/>
  <c r="AL7"/>
  <c r="AM7"/>
  <c r="AK9"/>
  <c r="AL9"/>
  <c r="AM9"/>
  <c r="AK10"/>
  <c r="AL10"/>
  <c r="AM10"/>
  <c r="AK13"/>
  <c r="AL13"/>
  <c r="AM13"/>
  <c r="AK14"/>
  <c r="AL14"/>
  <c r="AM14"/>
  <c r="AK17"/>
  <c r="AL17"/>
  <c r="AM17"/>
  <c r="AK18"/>
  <c r="AL18"/>
  <c r="AM18"/>
  <c r="AL3"/>
  <c r="AM3"/>
  <c r="AK3"/>
  <c r="S4"/>
  <c r="T4"/>
  <c r="U4"/>
  <c r="V4"/>
  <c r="W4"/>
  <c r="X4"/>
  <c r="Y4"/>
  <c r="Z4"/>
  <c r="AA4"/>
  <c r="AB4"/>
  <c r="AC4"/>
  <c r="AD4"/>
  <c r="AE4"/>
  <c r="S7"/>
  <c r="T7"/>
  <c r="U7"/>
  <c r="V7"/>
  <c r="W7"/>
  <c r="X7"/>
  <c r="Y7"/>
  <c r="Z7"/>
  <c r="AA7"/>
  <c r="AB7"/>
  <c r="AC7"/>
  <c r="AD7"/>
  <c r="AE7"/>
  <c r="S10"/>
  <c r="T10"/>
  <c r="U10"/>
  <c r="V10"/>
  <c r="W10"/>
  <c r="X10"/>
  <c r="Y10"/>
  <c r="Z10"/>
  <c r="AA10"/>
  <c r="AB10"/>
  <c r="AC10"/>
  <c r="AD10"/>
  <c r="AE10"/>
  <c r="S14"/>
  <c r="T14"/>
  <c r="U14"/>
  <c r="V14"/>
  <c r="W14"/>
  <c r="X14"/>
  <c r="Y14"/>
  <c r="Z14"/>
  <c r="AA14"/>
  <c r="AB14"/>
  <c r="AC14"/>
  <c r="AD14"/>
  <c r="AE14"/>
  <c r="S18"/>
  <c r="T18"/>
  <c r="U18"/>
  <c r="V18"/>
  <c r="W18"/>
  <c r="X18"/>
  <c r="Y18"/>
  <c r="Z18"/>
  <c r="AA18"/>
  <c r="AB18"/>
  <c r="AC18"/>
  <c r="AD18"/>
  <c r="AE18"/>
  <c r="AY7" i="2"/>
  <c r="AX7"/>
  <c r="AW7"/>
  <c r="AP7"/>
  <c r="AO7"/>
  <c r="AN7"/>
  <c r="AM7"/>
  <c r="AK7"/>
  <c r="AJ7"/>
  <c r="AH7"/>
  <c r="AF7"/>
  <c r="AG7" s="1"/>
  <c r="AE7"/>
  <c r="AD7"/>
  <c r="AC7"/>
  <c r="AB7"/>
  <c r="AY6"/>
  <c r="AX6"/>
  <c r="AW6"/>
  <c r="AK6"/>
  <c r="AJ6"/>
  <c r="AH6"/>
  <c r="AF6"/>
  <c r="AG6" s="1"/>
  <c r="AE6"/>
  <c r="AD6"/>
  <c r="AC6"/>
  <c r="AB6"/>
  <c r="J6"/>
  <c r="AO6" s="1"/>
  <c r="AY5"/>
  <c r="AX5"/>
  <c r="AW5"/>
  <c r="AP5"/>
  <c r="AK5"/>
  <c r="AJ5"/>
  <c r="AH5"/>
  <c r="AF5"/>
  <c r="AG5" s="1"/>
  <c r="AE5"/>
  <c r="AD5"/>
  <c r="AC5"/>
  <c r="AB5"/>
  <c r="J5"/>
  <c r="AM5" s="1"/>
  <c r="AY4"/>
  <c r="AX4"/>
  <c r="AW4"/>
  <c r="AP4"/>
  <c r="AN4"/>
  <c r="AM4"/>
  <c r="AK4"/>
  <c r="AJ4"/>
  <c r="AH4"/>
  <c r="AG4"/>
  <c r="AF4"/>
  <c r="AE4"/>
  <c r="AD4"/>
  <c r="AC4"/>
  <c r="AB4"/>
  <c r="J4"/>
  <c r="AO4" s="1"/>
  <c r="AY3"/>
  <c r="AX3"/>
  <c r="AW3"/>
  <c r="AN3"/>
  <c r="AM3"/>
  <c r="AK3"/>
  <c r="AJ3"/>
  <c r="AH3"/>
  <c r="AG3"/>
  <c r="AF3"/>
  <c r="AE3"/>
  <c r="AD3"/>
  <c r="AC3"/>
  <c r="AB3"/>
  <c r="J3"/>
  <c r="AO3" s="1"/>
  <c r="CK28" i="1" a="1"/>
  <c r="CK28" s="1"/>
  <c r="CK27" a="1"/>
  <c r="CK27" s="1"/>
  <c r="Q19"/>
  <c r="AY19" s="1"/>
  <c r="AZ19" s="1"/>
  <c r="AY18"/>
  <c r="Q18"/>
  <c r="AZ17"/>
  <c r="CA17" s="1"/>
  <c r="BN17" s="1"/>
  <c r="J17" s="1"/>
  <c r="AY17"/>
  <c r="Q14"/>
  <c r="Q15" s="1"/>
  <c r="AY13"/>
  <c r="Q10"/>
  <c r="AY9"/>
  <c r="AZ9" s="1"/>
  <c r="CA9" s="1"/>
  <c r="S9" s="1"/>
  <c r="Q7"/>
  <c r="AY7" s="1"/>
  <c r="CC6"/>
  <c r="AZ6"/>
  <c r="CA6" s="1"/>
  <c r="U6" s="1"/>
  <c r="AY6"/>
  <c r="C6"/>
  <c r="Q5"/>
  <c r="AY5" s="1"/>
  <c r="AK5" s="1"/>
  <c r="AZ4"/>
  <c r="AY4"/>
  <c r="Q4"/>
  <c r="C4"/>
  <c r="AZ3"/>
  <c r="CA3" s="1"/>
  <c r="V3" s="1"/>
  <c r="AY3"/>
  <c r="CC3" s="1"/>
  <c r="CK2" a="1"/>
  <c r="CK2" s="1"/>
  <c r="BC2" i="3" s="1"/>
  <c r="CK1" i="1" a="1"/>
  <c r="CK1" s="1"/>
  <c r="BC1" i="3" s="1"/>
  <c r="AE3" i="1" l="1"/>
  <c r="AA3"/>
  <c r="W3"/>
  <c r="AB17"/>
  <c r="X17"/>
  <c r="T17"/>
  <c r="AB9"/>
  <c r="X9"/>
  <c r="T9"/>
  <c r="AD6"/>
  <c r="Z6"/>
  <c r="V6"/>
  <c r="S3"/>
  <c r="AB3"/>
  <c r="X3"/>
  <c r="T3"/>
  <c r="AC17"/>
  <c r="Y17"/>
  <c r="U17"/>
  <c r="AC9"/>
  <c r="Y9"/>
  <c r="U9"/>
  <c r="AE6"/>
  <c r="AA6"/>
  <c r="W6"/>
  <c r="S6"/>
  <c r="AC3"/>
  <c r="Y3"/>
  <c r="U3"/>
  <c r="AD17"/>
  <c r="Z17"/>
  <c r="V17"/>
  <c r="AD9"/>
  <c r="Z9"/>
  <c r="V9"/>
  <c r="AB6"/>
  <c r="X6"/>
  <c r="T6"/>
  <c r="AD3"/>
  <c r="Z3"/>
  <c r="AE17"/>
  <c r="AA17"/>
  <c r="W17"/>
  <c r="S17"/>
  <c r="AE9"/>
  <c r="AA9"/>
  <c r="W9"/>
  <c r="AC6"/>
  <c r="Y6"/>
  <c r="AB19"/>
  <c r="X19"/>
  <c r="T19"/>
  <c r="AD5"/>
  <c r="Z5"/>
  <c r="V5"/>
  <c r="AL5"/>
  <c r="AC19"/>
  <c r="Y19"/>
  <c r="U19"/>
  <c r="AE5"/>
  <c r="AA5"/>
  <c r="W5"/>
  <c r="S5"/>
  <c r="AK19"/>
  <c r="AM5"/>
  <c r="AD19"/>
  <c r="Z19"/>
  <c r="V19"/>
  <c r="AB5"/>
  <c r="X5"/>
  <c r="T5"/>
  <c r="AL19"/>
  <c r="C19"/>
  <c r="AE19"/>
  <c r="AA19"/>
  <c r="W19"/>
  <c r="S19"/>
  <c r="AC5"/>
  <c r="Y5"/>
  <c r="U5"/>
  <c r="AM19"/>
  <c r="D17"/>
  <c r="BX17"/>
  <c r="AJ17" s="1"/>
  <c r="CD6"/>
  <c r="BZ6"/>
  <c r="AO6" s="1"/>
  <c r="BV6"/>
  <c r="BR6"/>
  <c r="AG6" s="1"/>
  <c r="BN6"/>
  <c r="J6" s="1"/>
  <c r="BJ6"/>
  <c r="BB6"/>
  <c r="P6"/>
  <c r="D6"/>
  <c r="CE6"/>
  <c r="CF6" s="1"/>
  <c r="BW6"/>
  <c r="AI6" s="1"/>
  <c r="BS6"/>
  <c r="AH6" s="1"/>
  <c r="BO6"/>
  <c r="K6" s="1"/>
  <c r="BK6"/>
  <c r="BX6"/>
  <c r="AJ6" s="1"/>
  <c r="BT6"/>
  <c r="M6" s="1"/>
  <c r="BP6"/>
  <c r="L6" s="1"/>
  <c r="BL6"/>
  <c r="H6" s="1"/>
  <c r="BD6"/>
  <c r="BU6"/>
  <c r="N6" s="1"/>
  <c r="BQ6"/>
  <c r="AN6" s="1"/>
  <c r="BM6"/>
  <c r="I6" s="1"/>
  <c r="BI6"/>
  <c r="E6" s="1"/>
  <c r="BE6"/>
  <c r="BA6"/>
  <c r="BC6" s="1"/>
  <c r="CC4"/>
  <c r="BX9"/>
  <c r="AJ9" s="1"/>
  <c r="BT9"/>
  <c r="M9" s="1"/>
  <c r="BP9"/>
  <c r="L9" s="1"/>
  <c r="BL9"/>
  <c r="H9" s="1"/>
  <c r="BD9"/>
  <c r="BW9"/>
  <c r="AI9" s="1"/>
  <c r="BR9"/>
  <c r="AG9" s="1"/>
  <c r="BM9"/>
  <c r="I9" s="1"/>
  <c r="BB9"/>
  <c r="CD9"/>
  <c r="BS9"/>
  <c r="AH9" s="1"/>
  <c r="BN9"/>
  <c r="J9" s="1"/>
  <c r="BI9"/>
  <c r="E9" s="1"/>
  <c r="D9"/>
  <c r="CE9"/>
  <c r="BZ9"/>
  <c r="AO9" s="1"/>
  <c r="BU9"/>
  <c r="N9" s="1"/>
  <c r="BO9"/>
  <c r="K9" s="1"/>
  <c r="BJ9"/>
  <c r="BE9"/>
  <c r="P9"/>
  <c r="BV9"/>
  <c r="BQ9"/>
  <c r="AN9" s="1"/>
  <c r="BK9"/>
  <c r="BA9"/>
  <c r="BU3"/>
  <c r="N3" s="1"/>
  <c r="BQ3"/>
  <c r="AN3" s="1"/>
  <c r="BM3"/>
  <c r="I3" s="1"/>
  <c r="BI3"/>
  <c r="E3" s="1"/>
  <c r="BE3"/>
  <c r="BA3"/>
  <c r="P3"/>
  <c r="D3"/>
  <c r="CE3"/>
  <c r="CG3" s="1"/>
  <c r="BS3"/>
  <c r="AH3" s="1"/>
  <c r="BO3"/>
  <c r="K3" s="1"/>
  <c r="BK3"/>
  <c r="CD3"/>
  <c r="BZ3"/>
  <c r="AO3" s="1"/>
  <c r="BV3"/>
  <c r="BR3"/>
  <c r="AG3" s="1"/>
  <c r="BN3"/>
  <c r="J3" s="1"/>
  <c r="BJ3"/>
  <c r="BB3"/>
  <c r="BW3"/>
  <c r="AI3" s="1"/>
  <c r="BX3"/>
  <c r="AJ3" s="1"/>
  <c r="BT3"/>
  <c r="M3" s="1"/>
  <c r="BP3"/>
  <c r="L3" s="1"/>
  <c r="BL3"/>
  <c r="H3" s="1"/>
  <c r="BD3"/>
  <c r="CC7"/>
  <c r="AZ7"/>
  <c r="C7"/>
  <c r="AZ5"/>
  <c r="C5"/>
  <c r="CC5"/>
  <c r="CG6"/>
  <c r="AZ13"/>
  <c r="C13"/>
  <c r="Q8"/>
  <c r="AY8" s="1"/>
  <c r="Q16"/>
  <c r="AY16" s="1"/>
  <c r="AY15"/>
  <c r="BU17"/>
  <c r="N17" s="1"/>
  <c r="BQ17"/>
  <c r="AN17" s="1"/>
  <c r="BM17"/>
  <c r="I17" s="1"/>
  <c r="BI17"/>
  <c r="E17" s="1"/>
  <c r="BE17"/>
  <c r="BA17"/>
  <c r="CE17"/>
  <c r="BZ17"/>
  <c r="AO17" s="1"/>
  <c r="BT17"/>
  <c r="M17" s="1"/>
  <c r="BO17"/>
  <c r="K17" s="1"/>
  <c r="BJ17"/>
  <c r="BD17"/>
  <c r="P17"/>
  <c r="BV17"/>
  <c r="BP17"/>
  <c r="L17" s="1"/>
  <c r="BK17"/>
  <c r="BW17"/>
  <c r="AI17" s="1"/>
  <c r="BR17"/>
  <c r="AG17" s="1"/>
  <c r="BL17"/>
  <c r="BB17"/>
  <c r="BS17"/>
  <c r="AH17" s="1"/>
  <c r="AY10"/>
  <c r="Q11"/>
  <c r="CA19"/>
  <c r="CA4"/>
  <c r="CC13"/>
  <c r="C3"/>
  <c r="C9"/>
  <c r="CC9"/>
  <c r="CD17"/>
  <c r="CH17" s="1"/>
  <c r="C18"/>
  <c r="AZ18"/>
  <c r="Q20"/>
  <c r="AY14"/>
  <c r="CC17"/>
  <c r="C17"/>
  <c r="AP6" i="2"/>
  <c r="AM6"/>
  <c r="AN6"/>
  <c r="AO5"/>
  <c r="AP3"/>
  <c r="AN5"/>
  <c r="H17" i="1" l="1"/>
  <c r="H17" i="3"/>
  <c r="V16" i="1"/>
  <c r="Z16"/>
  <c r="AD16"/>
  <c r="AM16"/>
  <c r="U16"/>
  <c r="Y16"/>
  <c r="AC16"/>
  <c r="AL16"/>
  <c r="T16"/>
  <c r="X16"/>
  <c r="AB16"/>
  <c r="AK16"/>
  <c r="S16"/>
  <c r="W16"/>
  <c r="AA16"/>
  <c r="AE16"/>
  <c r="AM15"/>
  <c r="S15"/>
  <c r="W15"/>
  <c r="AA15"/>
  <c r="AE15"/>
  <c r="AL15"/>
  <c r="V15"/>
  <c r="Z15"/>
  <c r="AD15"/>
  <c r="AK15"/>
  <c r="U15"/>
  <c r="Y15"/>
  <c r="AC15"/>
  <c r="T15"/>
  <c r="X15"/>
  <c r="AB15"/>
  <c r="V8"/>
  <c r="Z8"/>
  <c r="AD8"/>
  <c r="AM8"/>
  <c r="U8"/>
  <c r="Y8"/>
  <c r="AC8"/>
  <c r="AL8"/>
  <c r="T8"/>
  <c r="X8"/>
  <c r="AB8"/>
  <c r="AK8"/>
  <c r="S8"/>
  <c r="W8"/>
  <c r="AA8"/>
  <c r="AE8"/>
  <c r="CD4"/>
  <c r="BZ4"/>
  <c r="AO4" s="1"/>
  <c r="BV4"/>
  <c r="BR4"/>
  <c r="AG4" s="1"/>
  <c r="BN4"/>
  <c r="J4" s="1"/>
  <c r="BJ4"/>
  <c r="BB4"/>
  <c r="BT4"/>
  <c r="M4" s="1"/>
  <c r="CE4"/>
  <c r="BW4"/>
  <c r="AI4" s="1"/>
  <c r="BS4"/>
  <c r="AH4" s="1"/>
  <c r="BO4"/>
  <c r="K4" s="1"/>
  <c r="BK4"/>
  <c r="BL4"/>
  <c r="H4" s="1"/>
  <c r="BX4"/>
  <c r="AJ4" s="1"/>
  <c r="BP4"/>
  <c r="L4" s="1"/>
  <c r="BD4"/>
  <c r="BU4"/>
  <c r="N4" s="1"/>
  <c r="BQ4"/>
  <c r="AN4" s="1"/>
  <c r="BM4"/>
  <c r="I4" s="1"/>
  <c r="BI4"/>
  <c r="E4" s="1"/>
  <c r="BE4"/>
  <c r="BA4"/>
  <c r="P4"/>
  <c r="D4"/>
  <c r="CA18"/>
  <c r="Q21"/>
  <c r="AY20"/>
  <c r="CC10"/>
  <c r="AZ10"/>
  <c r="C10"/>
  <c r="AZ16"/>
  <c r="C16"/>
  <c r="F9"/>
  <c r="CH3"/>
  <c r="CF3"/>
  <c r="BC3" s="1"/>
  <c r="BF6"/>
  <c r="CH6"/>
  <c r="AZ14"/>
  <c r="C14"/>
  <c r="CC14"/>
  <c r="CC15" s="1"/>
  <c r="Q12"/>
  <c r="AY12" s="1"/>
  <c r="AY11"/>
  <c r="AZ15"/>
  <c r="C15"/>
  <c r="CC8"/>
  <c r="AZ8"/>
  <c r="C8"/>
  <c r="CA5"/>
  <c r="F3"/>
  <c r="F6"/>
  <c r="BY6"/>
  <c r="BF3"/>
  <c r="CH9"/>
  <c r="CA13"/>
  <c r="BG6"/>
  <c r="O6"/>
  <c r="CG17"/>
  <c r="BF17" s="1"/>
  <c r="CF17"/>
  <c r="CF9"/>
  <c r="BC9" s="1"/>
  <c r="CG9"/>
  <c r="BF9" s="1"/>
  <c r="CE19"/>
  <c r="BW19"/>
  <c r="AI19" s="1"/>
  <c r="BS19"/>
  <c r="AH19" s="1"/>
  <c r="BO19"/>
  <c r="K19" s="1"/>
  <c r="BK19"/>
  <c r="BX19"/>
  <c r="AJ19" s="1"/>
  <c r="BR19"/>
  <c r="AG19" s="1"/>
  <c r="BM19"/>
  <c r="I19" s="1"/>
  <c r="BB19"/>
  <c r="D19"/>
  <c r="CD19"/>
  <c r="CH19" s="1"/>
  <c r="BT19"/>
  <c r="M19" s="1"/>
  <c r="BN19"/>
  <c r="J19" s="1"/>
  <c r="BI19"/>
  <c r="E19" s="1"/>
  <c r="BD19"/>
  <c r="P19"/>
  <c r="BZ19"/>
  <c r="AO19" s="1"/>
  <c r="BU19"/>
  <c r="N19" s="1"/>
  <c r="BP19"/>
  <c r="L19" s="1"/>
  <c r="BJ19"/>
  <c r="BE19"/>
  <c r="BL19"/>
  <c r="BQ19"/>
  <c r="AN19" s="1"/>
  <c r="BV19"/>
  <c r="BA19"/>
  <c r="F17"/>
  <c r="CA7"/>
  <c r="CF4"/>
  <c r="CG4"/>
  <c r="CC18"/>
  <c r="BC17"/>
  <c r="H19" l="1"/>
  <c r="H19" i="3"/>
  <c r="U13" i="1"/>
  <c r="Y13"/>
  <c r="AC13"/>
  <c r="T13"/>
  <c r="X13"/>
  <c r="AB13"/>
  <c r="S13"/>
  <c r="W13"/>
  <c r="AA13"/>
  <c r="AE13"/>
  <c r="V13"/>
  <c r="Z13"/>
  <c r="AD13"/>
  <c r="V12"/>
  <c r="Z12"/>
  <c r="AD12"/>
  <c r="AM12"/>
  <c r="U12"/>
  <c r="Y12"/>
  <c r="AC12"/>
  <c r="AL12"/>
  <c r="T12"/>
  <c r="X12"/>
  <c r="AB12"/>
  <c r="AK12"/>
  <c r="S12"/>
  <c r="W12"/>
  <c r="AA12"/>
  <c r="AE12"/>
  <c r="AM11"/>
  <c r="S11"/>
  <c r="W11"/>
  <c r="AA11"/>
  <c r="AE11"/>
  <c r="AL11"/>
  <c r="V11"/>
  <c r="Z11"/>
  <c r="AD11"/>
  <c r="AK11"/>
  <c r="U11"/>
  <c r="Y11"/>
  <c r="AC11"/>
  <c r="T11"/>
  <c r="X11"/>
  <c r="AB11"/>
  <c r="V20"/>
  <c r="Z20"/>
  <c r="AD20"/>
  <c r="AM20"/>
  <c r="U20"/>
  <c r="Y20"/>
  <c r="AC20"/>
  <c r="AL20"/>
  <c r="T20"/>
  <c r="X20"/>
  <c r="AB20"/>
  <c r="AK20"/>
  <c r="S20"/>
  <c r="W20"/>
  <c r="AA20"/>
  <c r="AE20"/>
  <c r="G17"/>
  <c r="BH17"/>
  <c r="BY17"/>
  <c r="BY9"/>
  <c r="BG9"/>
  <c r="O9"/>
  <c r="CC16"/>
  <c r="BW7"/>
  <c r="AI7" s="1"/>
  <c r="BS7"/>
  <c r="AH7" s="1"/>
  <c r="BO7"/>
  <c r="K7" s="1"/>
  <c r="BK7"/>
  <c r="BX7"/>
  <c r="AJ7" s="1"/>
  <c r="BT7"/>
  <c r="M7" s="1"/>
  <c r="BP7"/>
  <c r="L7" s="1"/>
  <c r="BL7"/>
  <c r="H7" s="1"/>
  <c r="BD7"/>
  <c r="CD7"/>
  <c r="BU7"/>
  <c r="N7" s="1"/>
  <c r="BQ7"/>
  <c r="AN7" s="1"/>
  <c r="BM7"/>
  <c r="I7" s="1"/>
  <c r="BI7"/>
  <c r="E7" s="1"/>
  <c r="BE7"/>
  <c r="BA7"/>
  <c r="P7"/>
  <c r="D7"/>
  <c r="CE7"/>
  <c r="BZ7"/>
  <c r="AO7" s="1"/>
  <c r="BV7"/>
  <c r="BR7"/>
  <c r="AG7" s="1"/>
  <c r="BN7"/>
  <c r="J7" s="1"/>
  <c r="BJ7"/>
  <c r="BB7"/>
  <c r="CC19"/>
  <c r="CC20" s="1"/>
  <c r="R6"/>
  <c r="O3"/>
  <c r="BG3"/>
  <c r="AZ11"/>
  <c r="C11"/>
  <c r="CC11"/>
  <c r="CA14"/>
  <c r="AZ20"/>
  <c r="C20"/>
  <c r="O17"/>
  <c r="BG17"/>
  <c r="F19"/>
  <c r="CA8"/>
  <c r="CA16"/>
  <c r="CD18"/>
  <c r="BZ18"/>
  <c r="AO18" s="1"/>
  <c r="BV18"/>
  <c r="BR18"/>
  <c r="AG18" s="1"/>
  <c r="BN18"/>
  <c r="J18" s="1"/>
  <c r="BJ18"/>
  <c r="BB18"/>
  <c r="BX18"/>
  <c r="AJ18" s="1"/>
  <c r="BS18"/>
  <c r="AH18" s="1"/>
  <c r="BM18"/>
  <c r="I18" s="1"/>
  <c r="P18"/>
  <c r="CE18"/>
  <c r="CG18" s="1"/>
  <c r="BT18"/>
  <c r="M18" s="1"/>
  <c r="BO18"/>
  <c r="K18" s="1"/>
  <c r="BI18"/>
  <c r="E18" s="1"/>
  <c r="BD18"/>
  <c r="BU18"/>
  <c r="N18" s="1"/>
  <c r="BP18"/>
  <c r="L18" s="1"/>
  <c r="BK18"/>
  <c r="BE18"/>
  <c r="BL18"/>
  <c r="BQ18"/>
  <c r="AN18" s="1"/>
  <c r="D18"/>
  <c r="BW18"/>
  <c r="AI18" s="1"/>
  <c r="BA18"/>
  <c r="BC4"/>
  <c r="CH4"/>
  <c r="BH9"/>
  <c r="G9"/>
  <c r="CA15"/>
  <c r="BH6"/>
  <c r="B6" s="1"/>
  <c r="G6"/>
  <c r="CA10"/>
  <c r="F4"/>
  <c r="CE13"/>
  <c r="BW13"/>
  <c r="AI13" s="1"/>
  <c r="BS13"/>
  <c r="AH13" s="1"/>
  <c r="BO13"/>
  <c r="K13" s="1"/>
  <c r="BK13"/>
  <c r="CD13"/>
  <c r="BT13"/>
  <c r="M13" s="1"/>
  <c r="BN13"/>
  <c r="J13" s="1"/>
  <c r="BI13"/>
  <c r="E13" s="1"/>
  <c r="BD13"/>
  <c r="BZ13"/>
  <c r="AO13" s="1"/>
  <c r="BU13"/>
  <c r="N13" s="1"/>
  <c r="BP13"/>
  <c r="L13" s="1"/>
  <c r="BJ13"/>
  <c r="BE13"/>
  <c r="BA13"/>
  <c r="BV13"/>
  <c r="BQ13"/>
  <c r="AN13" s="1"/>
  <c r="BL13"/>
  <c r="H13" s="1"/>
  <c r="BB13"/>
  <c r="P13"/>
  <c r="D13"/>
  <c r="BX13"/>
  <c r="AJ13" s="1"/>
  <c r="BM13"/>
  <c r="I13" s="1"/>
  <c r="BR13"/>
  <c r="AG13" s="1"/>
  <c r="G3"/>
  <c r="BH3"/>
  <c r="CE5"/>
  <c r="BW5"/>
  <c r="AI5" s="1"/>
  <c r="BS5"/>
  <c r="AH5" s="1"/>
  <c r="BO5"/>
  <c r="K5" s="1"/>
  <c r="BK5"/>
  <c r="BX5"/>
  <c r="AJ5" s="1"/>
  <c r="BT5"/>
  <c r="M5" s="1"/>
  <c r="BP5"/>
  <c r="L5" s="1"/>
  <c r="BL5"/>
  <c r="H5" s="1"/>
  <c r="BD5"/>
  <c r="BU5"/>
  <c r="N5" s="1"/>
  <c r="BQ5"/>
  <c r="AN5" s="1"/>
  <c r="BM5"/>
  <c r="I5" s="1"/>
  <c r="BI5"/>
  <c r="E5" s="1"/>
  <c r="BE5"/>
  <c r="BA5"/>
  <c r="P5"/>
  <c r="D5"/>
  <c r="CD5"/>
  <c r="CH5" s="1"/>
  <c r="BZ5"/>
  <c r="AO5" s="1"/>
  <c r="BV5"/>
  <c r="BR5"/>
  <c r="AG5" s="1"/>
  <c r="BN5"/>
  <c r="J5" s="1"/>
  <c r="BJ5"/>
  <c r="BB5"/>
  <c r="CC12"/>
  <c r="AZ12"/>
  <c r="C12"/>
  <c r="Q22"/>
  <c r="AY21"/>
  <c r="BY3"/>
  <c r="BF4"/>
  <c r="H18" l="1"/>
  <c r="H18" i="3"/>
  <c r="AK21" i="1"/>
  <c r="U21"/>
  <c r="Y21"/>
  <c r="AC21"/>
  <c r="T21"/>
  <c r="X21"/>
  <c r="AB21"/>
  <c r="AM21"/>
  <c r="S21"/>
  <c r="W21"/>
  <c r="AA21"/>
  <c r="AE21"/>
  <c r="AL21"/>
  <c r="V21"/>
  <c r="Z21"/>
  <c r="AD21"/>
  <c r="CK6" a="1"/>
  <c r="CK6" s="1"/>
  <c r="BC6" i="3" s="1"/>
  <c r="Q23" i="1"/>
  <c r="AY22"/>
  <c r="CC21"/>
  <c r="C21"/>
  <c r="AZ21"/>
  <c r="BU8"/>
  <c r="N8" s="1"/>
  <c r="BQ8"/>
  <c r="AN8" s="1"/>
  <c r="BM8"/>
  <c r="I8" s="1"/>
  <c r="BI8"/>
  <c r="E8" s="1"/>
  <c r="BE8"/>
  <c r="BA8"/>
  <c r="P8"/>
  <c r="D8"/>
  <c r="BV8"/>
  <c r="BP8"/>
  <c r="L8" s="1"/>
  <c r="BK8"/>
  <c r="BW8"/>
  <c r="AI8" s="1"/>
  <c r="BR8"/>
  <c r="AG8" s="1"/>
  <c r="BL8"/>
  <c r="H8" s="1"/>
  <c r="BB8"/>
  <c r="CD8"/>
  <c r="BX8"/>
  <c r="AJ8" s="1"/>
  <c r="BS8"/>
  <c r="AH8" s="1"/>
  <c r="BN8"/>
  <c r="J8" s="1"/>
  <c r="CE8"/>
  <c r="BZ8"/>
  <c r="AO8" s="1"/>
  <c r="BT8"/>
  <c r="M8" s="1"/>
  <c r="BO8"/>
  <c r="K8" s="1"/>
  <c r="BJ8"/>
  <c r="BD8"/>
  <c r="F7"/>
  <c r="R9"/>
  <c r="B9"/>
  <c r="CA12"/>
  <c r="CD16"/>
  <c r="BZ16"/>
  <c r="AO16" s="1"/>
  <c r="BV16"/>
  <c r="BR16"/>
  <c r="AG16" s="1"/>
  <c r="BN16"/>
  <c r="J16" s="1"/>
  <c r="BJ16"/>
  <c r="BB16"/>
  <c r="BX16"/>
  <c r="AJ16" s="1"/>
  <c r="BS16"/>
  <c r="AH16" s="1"/>
  <c r="BM16"/>
  <c r="I16" s="1"/>
  <c r="D16"/>
  <c r="CE16"/>
  <c r="CF16" s="1"/>
  <c r="BT16"/>
  <c r="M16" s="1"/>
  <c r="BO16"/>
  <c r="K16" s="1"/>
  <c r="BI16"/>
  <c r="E16" s="1"/>
  <c r="BD16"/>
  <c r="P16"/>
  <c r="BU16"/>
  <c r="N16" s="1"/>
  <c r="BP16"/>
  <c r="L16" s="1"/>
  <c r="BK16"/>
  <c r="BE16"/>
  <c r="BL16"/>
  <c r="H16" s="1"/>
  <c r="BQ16"/>
  <c r="AN16" s="1"/>
  <c r="BW16"/>
  <c r="AI16" s="1"/>
  <c r="BA16"/>
  <c r="R17"/>
  <c r="B17"/>
  <c r="CA20"/>
  <c r="CF19"/>
  <c r="BC19" s="1"/>
  <c r="CG19"/>
  <c r="BF19" s="1"/>
  <c r="CG5"/>
  <c r="CF5"/>
  <c r="BC5" s="1"/>
  <c r="CG13"/>
  <c r="CF13"/>
  <c r="BC13" s="1"/>
  <c r="CE10"/>
  <c r="BW10"/>
  <c r="AI10" s="1"/>
  <c r="BS10"/>
  <c r="AH10" s="1"/>
  <c r="BO10"/>
  <c r="K10" s="1"/>
  <c r="BK10"/>
  <c r="BU10"/>
  <c r="N10" s="1"/>
  <c r="BQ10"/>
  <c r="AN10" s="1"/>
  <c r="BM10"/>
  <c r="I10" s="1"/>
  <c r="BI10"/>
  <c r="E10" s="1"/>
  <c r="BE10"/>
  <c r="BA10"/>
  <c r="P10"/>
  <c r="D10"/>
  <c r="BX10"/>
  <c r="AJ10" s="1"/>
  <c r="BP10"/>
  <c r="L10" s="1"/>
  <c r="BZ10"/>
  <c r="AO10" s="1"/>
  <c r="BR10"/>
  <c r="AG10" s="1"/>
  <c r="BJ10"/>
  <c r="BB10"/>
  <c r="BT10"/>
  <c r="M10" s="1"/>
  <c r="BL10"/>
  <c r="H10" s="1"/>
  <c r="BD10"/>
  <c r="CD10"/>
  <c r="CH10" s="1"/>
  <c r="BV10"/>
  <c r="BN10"/>
  <c r="J10" s="1"/>
  <c r="O4"/>
  <c r="BG4"/>
  <c r="CA11"/>
  <c r="BF5"/>
  <c r="CH18"/>
  <c r="CF18"/>
  <c r="BC18" s="1"/>
  <c r="BH4"/>
  <c r="G4"/>
  <c r="F5"/>
  <c r="F13"/>
  <c r="BU15"/>
  <c r="N15" s="1"/>
  <c r="BQ15"/>
  <c r="AN15" s="1"/>
  <c r="BM15"/>
  <c r="I15" s="1"/>
  <c r="BI15"/>
  <c r="E15" s="1"/>
  <c r="BE15"/>
  <c r="BA15"/>
  <c r="P15"/>
  <c r="D15"/>
  <c r="CD15"/>
  <c r="BX15"/>
  <c r="AJ15" s="1"/>
  <c r="BS15"/>
  <c r="AH15" s="1"/>
  <c r="BN15"/>
  <c r="J15" s="1"/>
  <c r="CE15"/>
  <c r="BZ15"/>
  <c r="AO15" s="1"/>
  <c r="BT15"/>
  <c r="M15" s="1"/>
  <c r="BO15"/>
  <c r="K15" s="1"/>
  <c r="BJ15"/>
  <c r="BD15"/>
  <c r="BV15"/>
  <c r="BP15"/>
  <c r="L15" s="1"/>
  <c r="BK15"/>
  <c r="BR15"/>
  <c r="AG15" s="1"/>
  <c r="BW15"/>
  <c r="AI15" s="1"/>
  <c r="BB15"/>
  <c r="BL15"/>
  <c r="H15" s="1"/>
  <c r="F18"/>
  <c r="BX14"/>
  <c r="AJ14" s="1"/>
  <c r="BT14"/>
  <c r="M14" s="1"/>
  <c r="BP14"/>
  <c r="L14" s="1"/>
  <c r="BL14"/>
  <c r="H14" s="1"/>
  <c r="BD14"/>
  <c r="CD14"/>
  <c r="BS14"/>
  <c r="AH14" s="1"/>
  <c r="BN14"/>
  <c r="J14" s="1"/>
  <c r="BI14"/>
  <c r="E14" s="1"/>
  <c r="P14"/>
  <c r="CE14"/>
  <c r="BZ14"/>
  <c r="AO14" s="1"/>
  <c r="BU14"/>
  <c r="N14" s="1"/>
  <c r="BO14"/>
  <c r="K14" s="1"/>
  <c r="BJ14"/>
  <c r="BE14"/>
  <c r="BV14"/>
  <c r="BQ14"/>
  <c r="AN14" s="1"/>
  <c r="BK14"/>
  <c r="BA14"/>
  <c r="BM14"/>
  <c r="I14" s="1"/>
  <c r="BR14"/>
  <c r="AG14" s="1"/>
  <c r="BW14"/>
  <c r="AI14" s="1"/>
  <c r="BB14"/>
  <c r="D14"/>
  <c r="R3"/>
  <c r="B3"/>
  <c r="CG7"/>
  <c r="BF7" s="1"/>
  <c r="CF7"/>
  <c r="BC7" s="1"/>
  <c r="BF13"/>
  <c r="CH13"/>
  <c r="BY4"/>
  <c r="BF18"/>
  <c r="CH7"/>
  <c r="AL22" l="1"/>
  <c r="T22"/>
  <c r="X22"/>
  <c r="AB22"/>
  <c r="AK22"/>
  <c r="S22"/>
  <c r="W22"/>
  <c r="AA22"/>
  <c r="AE22"/>
  <c r="V22"/>
  <c r="Z22"/>
  <c r="AD22"/>
  <c r="AM22"/>
  <c r="U22"/>
  <c r="Y22"/>
  <c r="AC22"/>
  <c r="BY13"/>
  <c r="BG5"/>
  <c r="O5"/>
  <c r="BY5"/>
  <c r="BH7"/>
  <c r="G7"/>
  <c r="BY7"/>
  <c r="BG18"/>
  <c r="O18"/>
  <c r="BG7"/>
  <c r="O7"/>
  <c r="R4"/>
  <c r="A4"/>
  <c r="B4"/>
  <c r="BG19"/>
  <c r="O19"/>
  <c r="BU12"/>
  <c r="N12" s="1"/>
  <c r="BQ12"/>
  <c r="AN12" s="1"/>
  <c r="BM12"/>
  <c r="I12" s="1"/>
  <c r="BI12"/>
  <c r="E12" s="1"/>
  <c r="BE12"/>
  <c r="BA12"/>
  <c r="P12"/>
  <c r="D12"/>
  <c r="CD12"/>
  <c r="BZ12"/>
  <c r="AO12" s="1"/>
  <c r="BV12"/>
  <c r="BR12"/>
  <c r="AG12" s="1"/>
  <c r="BN12"/>
  <c r="J12" s="1"/>
  <c r="BJ12"/>
  <c r="BB12"/>
  <c r="CE12"/>
  <c r="BW12"/>
  <c r="AI12" s="1"/>
  <c r="BS12"/>
  <c r="AH12" s="1"/>
  <c r="BO12"/>
  <c r="K12" s="1"/>
  <c r="BK12"/>
  <c r="BL12"/>
  <c r="H12" s="1"/>
  <c r="BP12"/>
  <c r="L12" s="1"/>
  <c r="BT12"/>
  <c r="M12" s="1"/>
  <c r="BD12"/>
  <c r="BX12"/>
  <c r="AJ12" s="1"/>
  <c r="BC16"/>
  <c r="CH16"/>
  <c r="CG16"/>
  <c r="BF16" s="1"/>
  <c r="CH8"/>
  <c r="CF10"/>
  <c r="CG10"/>
  <c r="BH19"/>
  <c r="G19"/>
  <c r="BY19"/>
  <c r="F16"/>
  <c r="CK3" a="1"/>
  <c r="CK3" s="1"/>
  <c r="BC3" i="3" s="1"/>
  <c r="F14" i="1"/>
  <c r="CG14"/>
  <c r="CF14"/>
  <c r="BC14" s="1"/>
  <c r="F15"/>
  <c r="CF15"/>
  <c r="BC15" s="1"/>
  <c r="CG15"/>
  <c r="F10"/>
  <c r="BG13"/>
  <c r="O13"/>
  <c r="BX20"/>
  <c r="AJ20" s="1"/>
  <c r="BT20"/>
  <c r="M20" s="1"/>
  <c r="BP20"/>
  <c r="L20" s="1"/>
  <c r="BL20"/>
  <c r="BD20"/>
  <c r="BW20"/>
  <c r="AI20" s="1"/>
  <c r="BR20"/>
  <c r="AG20" s="1"/>
  <c r="BM20"/>
  <c r="I20" s="1"/>
  <c r="BB20"/>
  <c r="D20"/>
  <c r="CD20"/>
  <c r="BS20"/>
  <c r="AH20" s="1"/>
  <c r="BN20"/>
  <c r="J20" s="1"/>
  <c r="BI20"/>
  <c r="E20" s="1"/>
  <c r="P20"/>
  <c r="CE20"/>
  <c r="BZ20"/>
  <c r="AO20" s="1"/>
  <c r="BU20"/>
  <c r="N20" s="1"/>
  <c r="BO20"/>
  <c r="K20" s="1"/>
  <c r="BJ20"/>
  <c r="BE20"/>
  <c r="BV20"/>
  <c r="BA20"/>
  <c r="BK20"/>
  <c r="BQ20"/>
  <c r="AN20" s="1"/>
  <c r="CA21"/>
  <c r="AY23"/>
  <c r="Q24"/>
  <c r="BF14"/>
  <c r="BC10"/>
  <c r="CK9" a="1"/>
  <c r="CK9" s="1"/>
  <c r="BC9" i="3" s="1"/>
  <c r="BH18" i="1"/>
  <c r="G18"/>
  <c r="G13"/>
  <c r="BH13"/>
  <c r="BH5"/>
  <c r="G5"/>
  <c r="BX11"/>
  <c r="AJ11" s="1"/>
  <c r="BT11"/>
  <c r="M11" s="1"/>
  <c r="BP11"/>
  <c r="L11" s="1"/>
  <c r="BL11"/>
  <c r="H11" s="1"/>
  <c r="BD11"/>
  <c r="CD11"/>
  <c r="BZ11"/>
  <c r="AO11" s="1"/>
  <c r="BV11"/>
  <c r="BR11"/>
  <c r="AG11" s="1"/>
  <c r="BN11"/>
  <c r="J11" s="1"/>
  <c r="BJ11"/>
  <c r="BB11"/>
  <c r="BU11"/>
  <c r="N11" s="1"/>
  <c r="BM11"/>
  <c r="I11" s="1"/>
  <c r="BE11"/>
  <c r="D11"/>
  <c r="CE11"/>
  <c r="BW11"/>
  <c r="AI11" s="1"/>
  <c r="BO11"/>
  <c r="K11" s="1"/>
  <c r="BQ11"/>
  <c r="AN11" s="1"/>
  <c r="BI11"/>
  <c r="E11" s="1"/>
  <c r="BA11"/>
  <c r="P11"/>
  <c r="BS11"/>
  <c r="AH11" s="1"/>
  <c r="BK11"/>
  <c r="F8"/>
  <c r="CF8"/>
  <c r="BC8" s="1"/>
  <c r="CG8"/>
  <c r="BF8" s="1"/>
  <c r="CC22"/>
  <c r="AZ22"/>
  <c r="C22"/>
  <c r="CH14"/>
  <c r="BY18"/>
  <c r="BF15"/>
  <c r="CH15"/>
  <c r="BF10"/>
  <c r="CK17" a="1"/>
  <c r="CK17" s="1"/>
  <c r="BC17" i="3" s="1"/>
  <c r="H20" i="1" l="1"/>
  <c r="H20" i="3"/>
  <c r="AM23" i="1"/>
  <c r="S23"/>
  <c r="W23"/>
  <c r="AA23"/>
  <c r="AE23"/>
  <c r="AL23"/>
  <c r="V23"/>
  <c r="Z23"/>
  <c r="AD23"/>
  <c r="AK23"/>
  <c r="U23"/>
  <c r="Y23"/>
  <c r="AC23"/>
  <c r="T23"/>
  <c r="X23"/>
  <c r="AB23"/>
  <c r="BY16"/>
  <c r="G8"/>
  <c r="BH8"/>
  <c r="BY8"/>
  <c r="O15"/>
  <c r="BG15"/>
  <c r="BG8"/>
  <c r="O8"/>
  <c r="O14"/>
  <c r="BG14"/>
  <c r="BH15"/>
  <c r="G15"/>
  <c r="BG10"/>
  <c r="O10"/>
  <c r="R7"/>
  <c r="A7"/>
  <c r="B7"/>
  <c r="R5"/>
  <c r="A5"/>
  <c r="B5"/>
  <c r="CH20"/>
  <c r="BH10"/>
  <c r="G10"/>
  <c r="CA22"/>
  <c r="C23"/>
  <c r="CC23"/>
  <c r="AZ23"/>
  <c r="R13"/>
  <c r="B13"/>
  <c r="CG12"/>
  <c r="CF12"/>
  <c r="BC12" s="1"/>
  <c r="R19"/>
  <c r="B19"/>
  <c r="A19"/>
  <c r="CF11"/>
  <c r="BC11" s="1"/>
  <c r="CG11"/>
  <c r="BF11" s="1"/>
  <c r="AY24"/>
  <c r="Q25"/>
  <c r="BH16"/>
  <c r="G16"/>
  <c r="R18"/>
  <c r="A18"/>
  <c r="B18"/>
  <c r="CH11"/>
  <c r="CH12"/>
  <c r="F11"/>
  <c r="BH14"/>
  <c r="G14"/>
  <c r="BU21"/>
  <c r="N21" s="1"/>
  <c r="BQ21"/>
  <c r="AN21" s="1"/>
  <c r="BM21"/>
  <c r="I21" s="1"/>
  <c r="BI21"/>
  <c r="E21" s="1"/>
  <c r="BE21"/>
  <c r="BA21"/>
  <c r="P21"/>
  <c r="D21"/>
  <c r="BW21"/>
  <c r="AI21" s="1"/>
  <c r="BR21"/>
  <c r="AG21" s="1"/>
  <c r="BL21"/>
  <c r="BB21"/>
  <c r="CD21"/>
  <c r="BX21"/>
  <c r="AJ21" s="1"/>
  <c r="BS21"/>
  <c r="AH21" s="1"/>
  <c r="BN21"/>
  <c r="J21" s="1"/>
  <c r="CE21"/>
  <c r="BZ21"/>
  <c r="AO21" s="1"/>
  <c r="BT21"/>
  <c r="M21" s="1"/>
  <c r="BO21"/>
  <c r="K21" s="1"/>
  <c r="BJ21"/>
  <c r="BD21"/>
  <c r="BK21"/>
  <c r="BP21"/>
  <c r="L21" s="1"/>
  <c r="BV21"/>
  <c r="F20"/>
  <c r="CG20"/>
  <c r="BF20" s="1"/>
  <c r="CF20"/>
  <c r="BC20" s="1"/>
  <c r="O16"/>
  <c r="BG16"/>
  <c r="F12"/>
  <c r="BY10"/>
  <c r="BY15"/>
  <c r="BY14"/>
  <c r="BF12"/>
  <c r="CK4" a="1"/>
  <c r="CK4" s="1"/>
  <c r="BC4" i="3" s="1"/>
  <c r="H21" i="1" l="1"/>
  <c r="H21" i="3"/>
  <c r="CK13" i="1" a="1"/>
  <c r="CK13" s="1"/>
  <c r="BC13" i="3" s="1"/>
  <c r="V24" i="1"/>
  <c r="Z24"/>
  <c r="AD24"/>
  <c r="AM24"/>
  <c r="U24"/>
  <c r="Y24"/>
  <c r="AC24"/>
  <c r="AL24"/>
  <c r="T24"/>
  <c r="X24"/>
  <c r="AB24"/>
  <c r="AK24"/>
  <c r="S24"/>
  <c r="W24"/>
  <c r="AA24"/>
  <c r="AE24"/>
  <c r="CK18" a="1"/>
  <c r="CK18" s="1"/>
  <c r="BC18" i="3" s="1"/>
  <c r="CH21" i="1"/>
  <c r="BG12"/>
  <c r="O12"/>
  <c r="BH11"/>
  <c r="G11"/>
  <c r="BY11"/>
  <c r="O11"/>
  <c r="BG11"/>
  <c r="O20"/>
  <c r="BG20"/>
  <c r="Q26"/>
  <c r="AY26" s="1"/>
  <c r="AY25"/>
  <c r="R14"/>
  <c r="A14"/>
  <c r="B14"/>
  <c r="R15"/>
  <c r="A15"/>
  <c r="B15"/>
  <c r="BH12"/>
  <c r="G12"/>
  <c r="BH20"/>
  <c r="G20"/>
  <c r="BU22"/>
  <c r="N22" s="1"/>
  <c r="BQ22"/>
  <c r="AN22" s="1"/>
  <c r="BM22"/>
  <c r="I22" s="1"/>
  <c r="BI22"/>
  <c r="E22" s="1"/>
  <c r="BE22"/>
  <c r="BA22"/>
  <c r="P22"/>
  <c r="D22"/>
  <c r="CD22"/>
  <c r="BZ22"/>
  <c r="AO22" s="1"/>
  <c r="BV22"/>
  <c r="BR22"/>
  <c r="AG22" s="1"/>
  <c r="BN22"/>
  <c r="J22" s="1"/>
  <c r="BJ22"/>
  <c r="BB22"/>
  <c r="CE22"/>
  <c r="BW22"/>
  <c r="AI22" s="1"/>
  <c r="BO22"/>
  <c r="K22" s="1"/>
  <c r="BX22"/>
  <c r="AJ22" s="1"/>
  <c r="BP22"/>
  <c r="L22" s="1"/>
  <c r="BS22"/>
  <c r="AH22" s="1"/>
  <c r="BK22"/>
  <c r="BT22"/>
  <c r="M22" s="1"/>
  <c r="BD22"/>
  <c r="BL22"/>
  <c r="R8"/>
  <c r="A8"/>
  <c r="B8"/>
  <c r="BY20"/>
  <c r="CK19" a="1"/>
  <c r="CK19" s="1"/>
  <c r="BC19" i="3" s="1"/>
  <c r="CK5" i="1" a="1"/>
  <c r="CK5" s="1"/>
  <c r="BC5" i="3" s="1"/>
  <c r="CA23" i="1"/>
  <c r="CK7" a="1"/>
  <c r="CK7" s="1"/>
  <c r="BC7" i="3" s="1"/>
  <c r="R16" i="1"/>
  <c r="B16"/>
  <c r="A16"/>
  <c r="F21"/>
  <c r="CF21"/>
  <c r="BC21" s="1"/>
  <c r="CG21"/>
  <c r="BF21" s="1"/>
  <c r="AZ24"/>
  <c r="C24"/>
  <c r="CC24"/>
  <c r="R10"/>
  <c r="B10"/>
  <c r="A10"/>
  <c r="BY12"/>
  <c r="H22" l="1"/>
  <c r="H22" i="3"/>
  <c r="AK25" i="1"/>
  <c r="U25"/>
  <c r="Y25"/>
  <c r="AC25"/>
  <c r="T25"/>
  <c r="X25"/>
  <c r="AB25"/>
  <c r="AM25"/>
  <c r="S25"/>
  <c r="W25"/>
  <c r="AA25"/>
  <c r="AE25"/>
  <c r="AL25"/>
  <c r="V25"/>
  <c r="Z25"/>
  <c r="AD25"/>
  <c r="AL26"/>
  <c r="T26"/>
  <c r="X26"/>
  <c r="AB26"/>
  <c r="AK26"/>
  <c r="S26"/>
  <c r="W26"/>
  <c r="AA26"/>
  <c r="AE26"/>
  <c r="V26"/>
  <c r="Z26"/>
  <c r="AD26"/>
  <c r="AM26"/>
  <c r="U26"/>
  <c r="Y26"/>
  <c r="AC26"/>
  <c r="CK8" a="1"/>
  <c r="CK8" s="1"/>
  <c r="BC8" i="3" s="1"/>
  <c r="CK16" i="1" a="1"/>
  <c r="CK16" s="1"/>
  <c r="BC16" i="3" s="1"/>
  <c r="BH21" i="1"/>
  <c r="G21"/>
  <c r="BY21"/>
  <c r="CA24"/>
  <c r="F22"/>
  <c r="R12"/>
  <c r="A12"/>
  <c r="B12"/>
  <c r="CK15" a="1"/>
  <c r="CK15" s="1"/>
  <c r="BC15" i="3" s="1"/>
  <c r="CD23" i="1"/>
  <c r="BZ23"/>
  <c r="AO23" s="1"/>
  <c r="BV23"/>
  <c r="BR23"/>
  <c r="AG23" s="1"/>
  <c r="BN23"/>
  <c r="J23" s="1"/>
  <c r="BJ23"/>
  <c r="BB23"/>
  <c r="CE23"/>
  <c r="BW23"/>
  <c r="AI23" s="1"/>
  <c r="BS23"/>
  <c r="AH23" s="1"/>
  <c r="BO23"/>
  <c r="K23" s="1"/>
  <c r="BK23"/>
  <c r="BT23"/>
  <c r="M23" s="1"/>
  <c r="BL23"/>
  <c r="BD23"/>
  <c r="BU23"/>
  <c r="N23" s="1"/>
  <c r="BM23"/>
  <c r="I23" s="1"/>
  <c r="BE23"/>
  <c r="D23"/>
  <c r="BX23"/>
  <c r="AJ23" s="1"/>
  <c r="BP23"/>
  <c r="L23" s="1"/>
  <c r="BQ23"/>
  <c r="AN23" s="1"/>
  <c r="BI23"/>
  <c r="E23" s="1"/>
  <c r="BA23"/>
  <c r="P23"/>
  <c r="CF22"/>
  <c r="BC22" s="1"/>
  <c r="CG22"/>
  <c r="R20"/>
  <c r="B20"/>
  <c r="A20"/>
  <c r="BF22"/>
  <c r="CK10" a="1"/>
  <c r="CK10" s="1"/>
  <c r="BC10" i="3" s="1"/>
  <c r="CK14" i="1" a="1"/>
  <c r="CK14" s="1"/>
  <c r="BC14" i="3" s="1"/>
  <c r="BG21" i="1"/>
  <c r="O21"/>
  <c r="C26"/>
  <c r="AZ26"/>
  <c r="CB16" s="1"/>
  <c r="CB11"/>
  <c r="AZ25"/>
  <c r="C25"/>
  <c r="CC25"/>
  <c r="R11"/>
  <c r="A11"/>
  <c r="B11"/>
  <c r="CH22"/>
  <c r="H23" l="1"/>
  <c r="H23" i="3"/>
  <c r="BY22" i="1"/>
  <c r="CK11" a="1"/>
  <c r="CK11" s="1"/>
  <c r="BC11" i="3" s="1"/>
  <c r="CB25" i="1"/>
  <c r="CA25"/>
  <c r="CB15"/>
  <c r="CB22"/>
  <c r="CG23"/>
  <c r="CF23"/>
  <c r="CB7"/>
  <c r="CB10"/>
  <c r="CK20" a="1"/>
  <c r="CK20" s="1"/>
  <c r="BC20" i="3" s="1"/>
  <c r="CA26" i="1"/>
  <c r="CB26"/>
  <c r="CB19"/>
  <c r="CB5"/>
  <c r="CB9"/>
  <c r="CB17"/>
  <c r="CB14"/>
  <c r="CB6"/>
  <c r="CB18"/>
  <c r="CB4"/>
  <c r="CB3"/>
  <c r="CB13"/>
  <c r="BG22"/>
  <c r="O22"/>
  <c r="BH22"/>
  <c r="G22"/>
  <c r="CB23"/>
  <c r="CB8"/>
  <c r="CC26"/>
  <c r="BC23"/>
  <c r="CB20"/>
  <c r="CB24"/>
  <c r="BF23"/>
  <c r="CH23"/>
  <c r="CB12"/>
  <c r="R21"/>
  <c r="A21"/>
  <c r="B21"/>
  <c r="F23"/>
  <c r="CE24"/>
  <c r="BW24"/>
  <c r="AI24" s="1"/>
  <c r="BS24"/>
  <c r="AH24" s="1"/>
  <c r="BO24"/>
  <c r="K24" s="1"/>
  <c r="BK24"/>
  <c r="BX24"/>
  <c r="AJ24" s="1"/>
  <c r="BT24"/>
  <c r="M24" s="1"/>
  <c r="BP24"/>
  <c r="L24" s="1"/>
  <c r="BL24"/>
  <c r="BD24"/>
  <c r="BU24"/>
  <c r="N24" s="1"/>
  <c r="BQ24"/>
  <c r="AN24" s="1"/>
  <c r="BM24"/>
  <c r="I24" s="1"/>
  <c r="BI24"/>
  <c r="E24" s="1"/>
  <c r="BE24"/>
  <c r="BA24"/>
  <c r="P24"/>
  <c r="D24"/>
  <c r="BZ24"/>
  <c r="AO24" s="1"/>
  <c r="BJ24"/>
  <c r="CD24"/>
  <c r="CH24" s="1"/>
  <c r="BN24"/>
  <c r="J24" s="1"/>
  <c r="BR24"/>
  <c r="AG24" s="1"/>
  <c r="BB24"/>
  <c r="BV24"/>
  <c r="CK12" a="1"/>
  <c r="CK12" s="1"/>
  <c r="BC12" i="3" s="1"/>
  <c r="CB21" i="1"/>
  <c r="H24" l="1"/>
  <c r="H24" i="3"/>
  <c r="BY23" i="1"/>
  <c r="BU26"/>
  <c r="N26" s="1"/>
  <c r="BQ26"/>
  <c r="AN26" s="1"/>
  <c r="BM26"/>
  <c r="I26" s="1"/>
  <c r="BI26"/>
  <c r="E26" s="1"/>
  <c r="BE26"/>
  <c r="BA26"/>
  <c r="P26"/>
  <c r="D26"/>
  <c r="CD26"/>
  <c r="BZ26"/>
  <c r="AO26" s="1"/>
  <c r="BV26"/>
  <c r="BR26"/>
  <c r="AG26" s="1"/>
  <c r="BN26"/>
  <c r="J26" s="1"/>
  <c r="BJ26"/>
  <c r="BB26"/>
  <c r="CE26"/>
  <c r="BW26"/>
  <c r="AI26" s="1"/>
  <c r="BS26"/>
  <c r="AH26" s="1"/>
  <c r="BO26"/>
  <c r="K26" s="1"/>
  <c r="BK26"/>
  <c r="BT26"/>
  <c r="M26" s="1"/>
  <c r="BD26"/>
  <c r="BX26"/>
  <c r="AJ26" s="1"/>
  <c r="BL26"/>
  <c r="BP26"/>
  <c r="L26" s="1"/>
  <c r="CG24"/>
  <c r="BF24" s="1"/>
  <c r="CF24"/>
  <c r="BH23"/>
  <c r="G23"/>
  <c r="CG26"/>
  <c r="CF26"/>
  <c r="CK21" a="1"/>
  <c r="CK21" s="1"/>
  <c r="BC21" i="3" s="1"/>
  <c r="F24" i="1"/>
  <c r="BG23"/>
  <c r="O23"/>
  <c r="BX25"/>
  <c r="AJ25" s="1"/>
  <c r="BT25"/>
  <c r="M25" s="1"/>
  <c r="BP25"/>
  <c r="L25" s="1"/>
  <c r="BL25"/>
  <c r="BD25"/>
  <c r="BU25"/>
  <c r="N25" s="1"/>
  <c r="BQ25"/>
  <c r="AN25" s="1"/>
  <c r="BM25"/>
  <c r="I25" s="1"/>
  <c r="BI25"/>
  <c r="E25" s="1"/>
  <c r="BE25"/>
  <c r="BA25"/>
  <c r="P25"/>
  <c r="D25"/>
  <c r="CD25"/>
  <c r="BZ25"/>
  <c r="AO25" s="1"/>
  <c r="BV25"/>
  <c r="BR25"/>
  <c r="AG25" s="1"/>
  <c r="BN25"/>
  <c r="J25" s="1"/>
  <c r="BJ25"/>
  <c r="BB25"/>
  <c r="CE25"/>
  <c r="BO25"/>
  <c r="K25" s="1"/>
  <c r="BS25"/>
  <c r="AH25" s="1"/>
  <c r="BW25"/>
  <c r="AI25" s="1"/>
  <c r="BK25"/>
  <c r="R22"/>
  <c r="B22"/>
  <c r="A22"/>
  <c r="BC24"/>
  <c r="H25" l="1"/>
  <c r="H25" i="3"/>
  <c r="H26" i="1"/>
  <c r="H26" i="3"/>
  <c r="CG25" i="1"/>
  <c r="BF25" s="1"/>
  <c r="CF25"/>
  <c r="R23"/>
  <c r="B23"/>
  <c r="A23"/>
  <c r="CK23" s="1" a="1"/>
  <c r="CK23" s="1"/>
  <c r="BC23" i="3" s="1"/>
  <c r="BH24" i="1"/>
  <c r="G24"/>
  <c r="F26"/>
  <c r="BC25"/>
  <c r="BC26"/>
  <c r="CK22" a="1"/>
  <c r="CK22" s="1"/>
  <c r="BC22" i="3" s="1"/>
  <c r="CH25" i="1"/>
  <c r="BF26"/>
  <c r="BY26" s="1"/>
  <c r="BG24"/>
  <c r="O24"/>
  <c r="F25"/>
  <c r="BY24"/>
  <c r="CH26"/>
  <c r="R24" l="1"/>
  <c r="A24"/>
  <c r="B24"/>
  <c r="BH25"/>
  <c r="G25"/>
  <c r="O25"/>
  <c r="BG25"/>
  <c r="BH26"/>
  <c r="G26"/>
  <c r="BG26"/>
  <c r="O26"/>
  <c r="BY25"/>
  <c r="R25" l="1"/>
  <c r="B25"/>
  <c r="A25"/>
  <c r="CK24" a="1"/>
  <c r="CK24" s="1"/>
  <c r="BC24" i="3" s="1"/>
  <c r="R26" i="1"/>
  <c r="A26"/>
  <c r="B26"/>
  <c r="CK26" l="1" a="1"/>
  <c r="CK26" s="1"/>
  <c r="BC26" i="3" s="1"/>
  <c r="CK25" i="1" a="1"/>
  <c r="CK25" s="1"/>
  <c r="BC25" i="3" s="1"/>
</calcChain>
</file>

<file path=xl/sharedStrings.xml><?xml version="1.0" encoding="utf-8"?>
<sst xmlns="http://schemas.openxmlformats.org/spreadsheetml/2006/main" count="1133" uniqueCount="207">
  <si>
    <t>$DESCRIPTION</t>
  </si>
  <si>
    <t>$PARTNUMBER</t>
  </si>
  <si>
    <t>$COLOR</t>
  </si>
  <si>
    <t>$VALUE@Case Diameter@Equations</t>
  </si>
  <si>
    <t>$VALUE@Lead Length@Equations</t>
  </si>
  <si>
    <t>$VALUE@Stand Off@Equations</t>
  </si>
  <si>
    <t>$VALUE@End Fillet Radius@Equations</t>
  </si>
  <si>
    <t>$VALUE@Case Length@Equations</t>
  </si>
  <si>
    <t>$VALUE@Lead Diameter@Equations</t>
  </si>
  <si>
    <t>$VALUE@Cathode Indicator Ring Width@Equations</t>
  </si>
  <si>
    <t>$VALUE@Text Height@Equations</t>
  </si>
  <si>
    <t>$VALUE@Protrusion Length@Equations</t>
  </si>
  <si>
    <t>$VALUE@Lead Spacing@Equations</t>
  </si>
  <si>
    <t>SOLIDWORKS Materials:Glass</t>
  </si>
  <si>
    <t>$PARENT</t>
  </si>
  <si>
    <t>$COMMENT</t>
  </si>
  <si>
    <t>SOLIDWORKS Materials:PUR</t>
  </si>
  <si>
    <t>U</t>
  </si>
  <si>
    <t>$VALUE@Text Indent Line2@Equations</t>
  </si>
  <si>
    <t>$VALUE@Lead Extend Length@Equations</t>
  </si>
  <si>
    <t>$VALUE@Case Circumference@Equations</t>
  </si>
  <si>
    <t>$VALUE@Lead Bend Radius@Equations</t>
  </si>
  <si>
    <t>DO-41</t>
  </si>
  <si>
    <t>DO-201AD</t>
  </si>
  <si>
    <t>017AA</t>
  </si>
  <si>
    <t>$STATE@Internal H1</t>
  </si>
  <si>
    <t>$STATE@Internal H2</t>
  </si>
  <si>
    <t>$STATE@Case Axis</t>
  </si>
  <si>
    <t>$STATE@Case Axis Sketch</t>
  </si>
  <si>
    <t>DO-204AL</t>
  </si>
  <si>
    <t>Lead Spacing</t>
  </si>
  <si>
    <t>Cylindrical Text</t>
  </si>
  <si>
    <t>Package Material</t>
  </si>
  <si>
    <t>Glass</t>
  </si>
  <si>
    <t>Plastic</t>
  </si>
  <si>
    <t>Index</t>
  </si>
  <si>
    <t>Package</t>
  </si>
  <si>
    <t>Package Index</t>
  </si>
  <si>
    <t>Lead Spacing Text</t>
  </si>
  <si>
    <t>EndFilletDivisor</t>
  </si>
  <si>
    <t>Parent?</t>
  </si>
  <si>
    <t>Colour Hextriplet</t>
  </si>
  <si>
    <t>#FFFFFF</t>
  </si>
  <si>
    <t>#050505</t>
  </si>
  <si>
    <t>TextWrap</t>
  </si>
  <si>
    <t>$STATE@Text C1.0 S0.7</t>
  </si>
  <si>
    <t>$STATE@Text L2.0 S0.7</t>
  </si>
  <si>
    <t>$STATE@Text L1.2 S0.6</t>
  </si>
  <si>
    <t>$STATE@Text C1.3 S0.2</t>
  </si>
  <si>
    <t>$STATE@TSketch C1.0 S0.7</t>
  </si>
  <si>
    <t>$STATE@TSketch L2.0 S0.7</t>
  </si>
  <si>
    <t>$STATE@TSketch L1.2 S0.6</t>
  </si>
  <si>
    <t>$STATE@TSketch C1.3 S0.2</t>
  </si>
  <si>
    <t>=0.4mm</t>
  </si>
  <si>
    <t>DO-35</t>
  </si>
  <si>
    <t>No Text</t>
  </si>
  <si>
    <t>Stand Off</t>
  </si>
  <si>
    <t>Lead Spacing Increment</t>
  </si>
  <si>
    <t>Stand Off Increment</t>
  </si>
  <si>
    <t>Lead Spacing Instances</t>
  </si>
  <si>
    <t>Stand Off Instances</t>
  </si>
  <si>
    <t>Package Count</t>
  </si>
  <si>
    <t>Lead Spacing Instance</t>
  </si>
  <si>
    <t>Stand Off Instance</t>
  </si>
  <si>
    <t>Package Instance</t>
  </si>
  <si>
    <t>Required Package Instances</t>
  </si>
  <si>
    <t>Config Lead Spacing</t>
  </si>
  <si>
    <t>Config Stand Off</t>
  </si>
  <si>
    <t>Stand Off Text</t>
  </si>
  <si>
    <t>$STATE@Wrap2</t>
  </si>
  <si>
    <t>HasCathodeIndicator</t>
  </si>
  <si>
    <t>$STATE@SurfaceCut1</t>
  </si>
  <si>
    <t>$STATE@Surface-Offset1</t>
  </si>
  <si>
    <t>$STATE@Thicken1</t>
  </si>
  <si>
    <t>$STATE@Lead Cut Surface</t>
  </si>
  <si>
    <t>Design Table for: Diode</t>
  </si>
  <si>
    <t>=0.7mm</t>
  </si>
  <si>
    <t>=0.6mm</t>
  </si>
  <si>
    <t>$LIBRARY:MATERIAL@Diode</t>
  </si>
  <si>
    <t>DO-41 AXIAL-0.3 Glass</t>
  </si>
  <si>
    <t>$C</t>
  </si>
  <si>
    <t>=2.6mm</t>
  </si>
  <si>
    <t>=26mm</t>
  </si>
  <si>
    <t>=1mm</t>
  </si>
  <si>
    <t>=4.1mm</t>
  </si>
  <si>
    <t>=0.9mm</t>
  </si>
  <si>
    <t>=0.1mm</t>
  </si>
  <si>
    <t>=2mm</t>
  </si>
  <si>
    <t>=7.62mm</t>
  </si>
  <si>
    <t xml:space="preserve">AXIAL-0.3 </t>
  </si>
  <si>
    <t>S</t>
  </si>
  <si>
    <t>DO-41 AXIAL-0.4</t>
  </si>
  <si>
    <t>DO-41 AXIAL-0.4 Glass</t>
  </si>
  <si>
    <t>$P</t>
  </si>
  <si>
    <t>=10.16mm</t>
  </si>
  <si>
    <t xml:space="preserve">AXIAL-0.4 </t>
  </si>
  <si>
    <t>DO-41 AXIAL-0.5</t>
  </si>
  <si>
    <t>DO-41 AXIAL-0.5 Glass</t>
  </si>
  <si>
    <t>=12.7mm</t>
  </si>
  <si>
    <t xml:space="preserve">AXIAL-0.5 </t>
  </si>
  <si>
    <t>DO-201AD AXIAL-0.6 Plastic</t>
  </si>
  <si>
    <t>=5.3mm</t>
  </si>
  <si>
    <t>=25.4mm</t>
  </si>
  <si>
    <t>=9.5mm</t>
  </si>
  <si>
    <t>=1.3mm</t>
  </si>
  <si>
    <t>=1.8mm</t>
  </si>
  <si>
    <t>=0.001mm</t>
  </si>
  <si>
    <t>=15.24mm</t>
  </si>
  <si>
    <t xml:space="preserve">AXIAL-0.6 </t>
  </si>
  <si>
    <t>DO-201AD AXIAL-0.7</t>
  </si>
  <si>
    <t>DO-201AD AXIAL-0.7 Plastic</t>
  </si>
  <si>
    <t>=17.78mm</t>
  </si>
  <si>
    <t xml:space="preserve">AXIAL-0.7 </t>
  </si>
  <si>
    <t>DO-201AD AXIAL-0.8</t>
  </si>
  <si>
    <t>DO-201AD AXIAL-0.8 Plastic</t>
  </si>
  <si>
    <t>=20.32mm</t>
  </si>
  <si>
    <t xml:space="preserve">AXIAL-0.8 </t>
  </si>
  <si>
    <t>017AA AXIAL-0.5 Plastic</t>
  </si>
  <si>
    <t>=3.68mm</t>
  </si>
  <si>
    <t>=8.89mm</t>
  </si>
  <si>
    <t>=1.09mm</t>
  </si>
  <si>
    <t>=1.5mm</t>
  </si>
  <si>
    <t>=1.2mm</t>
  </si>
  <si>
    <t>017AA AXIAL-0.6</t>
  </si>
  <si>
    <t>017AA AXIAL-0.6 Plastic</t>
  </si>
  <si>
    <t>017AA AXIAL-0.7</t>
  </si>
  <si>
    <t>017AA AXIAL-0.7 Plastic</t>
  </si>
  <si>
    <t>017AA AXIAL-0.8</t>
  </si>
  <si>
    <t>017AA AXIAL-0.8 Plastic</t>
  </si>
  <si>
    <t>DO-204AL AXIAL-0.3 Plastic</t>
  </si>
  <si>
    <t>=2.7mm</t>
  </si>
  <si>
    <t>=5.2mm</t>
  </si>
  <si>
    <t>=0.86mm</t>
  </si>
  <si>
    <t>=0.96mm</t>
  </si>
  <si>
    <t>DO-204AL AXIAL-0.4</t>
  </si>
  <si>
    <t>DO-204AL AXIAL-0.4 Plastic</t>
  </si>
  <si>
    <t>DO-204AL AXIAL-0.5</t>
  </si>
  <si>
    <t>DO-204AL AXIAL-0.5 Plastic</t>
  </si>
  <si>
    <t>DO-204AL AXIAL-0.6</t>
  </si>
  <si>
    <t>DO-204AL AXIAL-0.6 Plastic</t>
  </si>
  <si>
    <t>DO-35 AXIAL-0.3 Glass</t>
  </si>
  <si>
    <t>=28mm</t>
  </si>
  <si>
    <t>=4mm</t>
  </si>
  <si>
    <t>=0.5mm</t>
  </si>
  <si>
    <t>=6.35mm</t>
  </si>
  <si>
    <t>DO-35 AXIAL-0.3 [10.0]</t>
  </si>
  <si>
    <t>DO-35 AXIAL-0.3 [10.0] Glass</t>
  </si>
  <si>
    <t>=10mm</t>
  </si>
  <si>
    <t>DO-35 AXIAL-0.3 [20.0]</t>
  </si>
  <si>
    <t>DO-35 AXIAL-0.3 [20.0] Glass</t>
  </si>
  <si>
    <t>=20mm</t>
  </si>
  <si>
    <t>DO-35 AXIAL-0.3</t>
  </si>
  <si>
    <t>Remaining Lead Length</t>
  </si>
  <si>
    <t>Case Diameter</t>
  </si>
  <si>
    <t>Lead Length</t>
  </si>
  <si>
    <t>End Fillet Radius</t>
  </si>
  <si>
    <t>Case Length</t>
  </si>
  <si>
    <t>Lead Diameter</t>
  </si>
  <si>
    <t>Cathode Indicator Ring Width</t>
  </si>
  <si>
    <t>Text Height</t>
  </si>
  <si>
    <t>Protrusion Length</t>
  </si>
  <si>
    <t>Lead Extend Length</t>
  </si>
  <si>
    <t>Lead Bend Radius</t>
  </si>
  <si>
    <t>Text Vertical Space</t>
  </si>
  <si>
    <t>Text Indent Line2</t>
  </si>
  <si>
    <t>Case Circumference</t>
  </si>
  <si>
    <t>Lead Spacing (mils)</t>
  </si>
  <si>
    <t>=0.65mm</t>
  </si>
  <si>
    <t>=8.16814089933346mm</t>
  </si>
  <si>
    <t>=0.84mm</t>
  </si>
  <si>
    <t>=0.0828125mm</t>
  </si>
  <si>
    <t>=16.6504410640259mm</t>
  </si>
  <si>
    <t>=1.56mm</t>
  </si>
  <si>
    <t>=0.0575mm</t>
  </si>
  <si>
    <t>=11.5610609652104mm</t>
  </si>
  <si>
    <t>=1.308mm</t>
  </si>
  <si>
    <t>=0.0421875mm</t>
  </si>
  <si>
    <t>=8.48230016469244mm</t>
  </si>
  <si>
    <t>=1.032mm</t>
  </si>
  <si>
    <t>DO-35 AXIAL-0.25 Glass</t>
  </si>
  <si>
    <t xml:space="preserve">AXIAL-0.25 </t>
  </si>
  <si>
    <t>=6.28318530717959mm</t>
  </si>
  <si>
    <t>DO-35 AXIAL-0.25 [05.0]</t>
  </si>
  <si>
    <t>DO-35 AXIAL-0.25 [05.0] Glass</t>
  </si>
  <si>
    <t>=5mm</t>
  </si>
  <si>
    <t>DO-35 AXIAL-0.25 [10.0]</t>
  </si>
  <si>
    <t>DO-35 AXIAL-0.25 [10.0] Glass</t>
  </si>
  <si>
    <t>DO-35 AXIAL-0.25 [15.0]</t>
  </si>
  <si>
    <t>DO-35 AXIAL-0.25 [15.0] Glass</t>
  </si>
  <si>
    <t>=15mm</t>
  </si>
  <si>
    <t>DO-35 AXIAL-0.25 [20.0]</t>
  </si>
  <si>
    <t>DO-35 AXIAL-0.25 [20.0] Glass</t>
  </si>
  <si>
    <t>DO-35 AXIAL-0.3 [05.0]</t>
  </si>
  <si>
    <t>DO-35 AXIAL-0.3 [05.0] Glass</t>
  </si>
  <si>
    <t>DO-35 AXIAL-0.3 [15.0]</t>
  </si>
  <si>
    <t>DO-35 AXIAL-0.3 [15.0] Glass</t>
  </si>
  <si>
    <t>DO-35 AXIAL-0.4</t>
  </si>
  <si>
    <t>DO-35 AXIAL-0.4 [10.0]</t>
  </si>
  <si>
    <t>DO-35 AXIAL-0.4 [20.0]</t>
  </si>
  <si>
    <t>$VALUE@Text Indent@Equations</t>
  </si>
  <si>
    <t>Text Indent</t>
  </si>
  <si>
    <t>$VALUE@Text Vertical Space@Equations</t>
  </si>
  <si>
    <t>$VALUE@Internal Centre Gap@Equations</t>
  </si>
  <si>
    <t/>
  </si>
  <si>
    <t>Internal Centre Gap</t>
  </si>
  <si>
    <t>=0.16mm</t>
  </si>
  <si>
    <t>=0.2mm</t>
  </si>
</sst>
</file>

<file path=xl/styles.xml><?xml version="1.0" encoding="utf-8"?>
<styleSheet xmlns="http://schemas.openxmlformats.org/spreadsheetml/2006/main">
  <numFmts count="5">
    <numFmt numFmtId="164" formatCode="0.0###&quot; mm&quot;"/>
    <numFmt numFmtId="165" formatCode="#&quot; mils&quot;"/>
    <numFmt numFmtId="166" formatCode="0&quot; mils&quot;"/>
    <numFmt numFmtId="167" formatCode="#;#;;"/>
    <numFmt numFmtId="168" formatCode="0.0##&quot; mm&quot;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0" borderId="0" xfId="0" applyNumberFormat="1"/>
    <xf numFmtId="0" fontId="0" fillId="0" borderId="0" xfId="0" applyNumberFormat="1"/>
    <xf numFmtId="0" fontId="0" fillId="0" borderId="0" xfId="0" applyNumberFormat="1" applyAlignment="1">
      <alignment textRotation="90"/>
    </xf>
    <xf numFmtId="0" fontId="0" fillId="0" borderId="0" xfId="0" applyAlignment="1">
      <alignment textRotation="90"/>
    </xf>
    <xf numFmtId="164" fontId="0" fillId="0" borderId="0" xfId="0" applyNumberFormat="1"/>
    <xf numFmtId="165" fontId="0" fillId="0" borderId="0" xfId="0" applyNumberFormat="1"/>
    <xf numFmtId="0" fontId="0" fillId="2" borderId="0" xfId="0" applyNumberFormat="1" applyFill="1" applyAlignment="1">
      <alignment textRotation="90"/>
    </xf>
    <xf numFmtId="0" fontId="0" fillId="2" borderId="0" xfId="0" applyNumberFormat="1" applyFill="1"/>
    <xf numFmtId="0" fontId="0" fillId="3" borderId="0" xfId="0" applyNumberFormat="1" applyFill="1" applyAlignment="1">
      <alignment textRotation="90"/>
    </xf>
    <xf numFmtId="164" fontId="0" fillId="3" borderId="0" xfId="0" applyNumberFormat="1" applyFill="1"/>
    <xf numFmtId="166" fontId="0" fillId="0" borderId="0" xfId="0" applyNumberFormat="1"/>
    <xf numFmtId="49" fontId="0" fillId="0" borderId="1" xfId="0" applyNumberFormat="1" applyBorder="1"/>
    <xf numFmtId="0" fontId="0" fillId="0" borderId="2" xfId="0" applyNumberFormat="1" applyBorder="1"/>
    <xf numFmtId="49" fontId="0" fillId="0" borderId="2" xfId="0" applyNumberFormat="1" applyBorder="1"/>
    <xf numFmtId="0" fontId="0" fillId="0" borderId="2" xfId="0" applyBorder="1"/>
    <xf numFmtId="0" fontId="0" fillId="0" borderId="3" xfId="0" applyBorder="1"/>
    <xf numFmtId="49" fontId="0" fillId="0" borderId="4" xfId="0" applyNumberFormat="1" applyBorder="1" applyAlignment="1">
      <alignment textRotation="90"/>
    </xf>
    <xf numFmtId="0" fontId="0" fillId="0" borderId="0" xfId="0" applyNumberFormat="1" applyBorder="1" applyAlignment="1">
      <alignment textRotation="90"/>
    </xf>
    <xf numFmtId="49" fontId="0" fillId="0" borderId="0" xfId="0" applyNumberFormat="1" applyBorder="1" applyAlignment="1">
      <alignment textRotation="90"/>
    </xf>
    <xf numFmtId="0" fontId="0" fillId="0" borderId="0" xfId="0" applyBorder="1" applyAlignment="1">
      <alignment textRotation="90"/>
    </xf>
    <xf numFmtId="0" fontId="0" fillId="0" borderId="5" xfId="0" applyBorder="1" applyAlignment="1">
      <alignment textRotation="90"/>
    </xf>
    <xf numFmtId="0" fontId="0" fillId="0" borderId="4" xfId="0" applyNumberFormat="1" applyBorder="1"/>
    <xf numFmtId="0" fontId="0" fillId="0" borderId="0" xfId="0" applyNumberFormat="1" applyBorder="1"/>
    <xf numFmtId="0" fontId="0" fillId="0" borderId="0" xfId="0" quotePrefix="1" applyNumberFormat="1" applyBorder="1"/>
    <xf numFmtId="165" fontId="0" fillId="0" borderId="0" xfId="0" applyNumberFormat="1" applyBorder="1"/>
    <xf numFmtId="0" fontId="0" fillId="0" borderId="0" xfId="0" applyBorder="1"/>
    <xf numFmtId="166" fontId="0" fillId="0" borderId="0" xfId="0" applyNumberFormat="1" applyBorder="1"/>
    <xf numFmtId="164" fontId="0" fillId="0" borderId="0" xfId="0" applyNumberFormat="1" applyBorder="1"/>
    <xf numFmtId="0" fontId="0" fillId="0" borderId="5" xfId="0" applyBorder="1"/>
    <xf numFmtId="0" fontId="0" fillId="0" borderId="4" xfId="0" applyBorder="1"/>
    <xf numFmtId="166" fontId="0" fillId="0" borderId="5" xfId="0" applyNumberFormat="1" applyBorder="1"/>
    <xf numFmtId="49" fontId="0" fillId="0" borderId="6" xfId="0" applyNumberFormat="1" applyBorder="1"/>
    <xf numFmtId="0" fontId="0" fillId="0" borderId="7" xfId="0" applyNumberFormat="1" applyBorder="1"/>
    <xf numFmtId="49" fontId="0" fillId="0" borderId="7" xfId="0" applyNumberFormat="1" applyBorder="1"/>
    <xf numFmtId="0" fontId="0" fillId="0" borderId="7" xfId="0" applyBorder="1"/>
    <xf numFmtId="0" fontId="0" fillId="0" borderId="8" xfId="0" applyBorder="1"/>
    <xf numFmtId="0" fontId="1" fillId="0" borderId="0" xfId="0" applyFont="1"/>
    <xf numFmtId="168" fontId="0" fillId="2" borderId="0" xfId="0" applyNumberFormat="1" applyFill="1"/>
    <xf numFmtId="49" fontId="0" fillId="0" borderId="0" xfId="0" applyNumberFormat="1" applyBorder="1"/>
    <xf numFmtId="167" fontId="1" fillId="2" borderId="0" xfId="0" applyNumberFormat="1" applyFont="1" applyFill="1" applyBorder="1"/>
    <xf numFmtId="0" fontId="0" fillId="0" borderId="9" xfId="0" applyBorder="1"/>
    <xf numFmtId="0" fontId="0" fillId="0" borderId="10" xfId="0" applyBorder="1" applyAlignment="1">
      <alignment textRotation="90"/>
    </xf>
    <xf numFmtId="0" fontId="0" fillId="0" borderId="10" xfId="0" applyBorder="1"/>
    <xf numFmtId="0" fontId="0" fillId="0" borderId="11" xfId="0" applyBorder="1"/>
    <xf numFmtId="167" fontId="1" fillId="2" borderId="4" xfId="0" applyNumberFormat="1" applyFont="1" applyFill="1" applyBorder="1"/>
    <xf numFmtId="0" fontId="0" fillId="0" borderId="0" xfId="0" quotePrefix="1" applyNumberFormat="1"/>
  </cellXfs>
  <cellStyles count="1">
    <cellStyle name="Normal" xfId="0" builtinId="0"/>
  </cellStyles>
  <dxfs count="31">
    <dxf>
      <font>
        <strike/>
        <color rgb="FFFF0000"/>
      </font>
    </dxf>
    <dxf>
      <font>
        <b/>
        <i val="0"/>
      </font>
    </dxf>
    <dxf>
      <font>
        <color theme="9"/>
      </font>
    </dxf>
    <dxf>
      <font>
        <strike/>
        <color rgb="FFFF0000"/>
      </font>
    </dxf>
    <dxf>
      <font>
        <b/>
        <i val="0"/>
      </font>
    </dxf>
    <dxf>
      <font>
        <color theme="9"/>
      </font>
    </dxf>
    <dxf>
      <font>
        <strike/>
        <color rgb="FFFF0000"/>
      </font>
    </dxf>
    <dxf>
      <font>
        <b/>
        <i val="0"/>
      </font>
    </dxf>
    <dxf>
      <font>
        <color theme="9"/>
      </font>
    </dxf>
    <dxf>
      <font>
        <strike/>
        <color rgb="FFFF0000"/>
      </font>
    </dxf>
    <dxf>
      <font>
        <b/>
        <i val="0"/>
      </font>
    </dxf>
    <dxf>
      <font>
        <color theme="9"/>
      </font>
    </dxf>
    <dxf>
      <font>
        <strike/>
        <color rgb="FFFF0000"/>
      </font>
    </dxf>
    <dxf>
      <font>
        <b/>
        <i val="0"/>
      </font>
    </dxf>
    <dxf>
      <font>
        <color theme="9"/>
      </font>
    </dxf>
    <dxf>
      <font>
        <strike/>
        <color rgb="FFFF0000"/>
      </font>
    </dxf>
    <dxf>
      <font>
        <b/>
        <i val="0"/>
      </font>
    </dxf>
    <dxf>
      <font>
        <color theme="9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strike/>
        <color rgb="FFFF0000"/>
      </font>
    </dxf>
    <dxf>
      <font>
        <b/>
        <i val="0"/>
      </font>
    </dxf>
    <dxf>
      <font>
        <color theme="9"/>
      </font>
    </dxf>
    <dxf>
      <font>
        <color rgb="FFFFFF00"/>
      </font>
      <fill>
        <patternFill>
          <bgColor rgb="FFFF00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44</xdr:col>
      <xdr:colOff>0</xdr:colOff>
      <xdr:row>32</xdr:row>
      <xdr:rowOff>93057</xdr:rowOff>
    </xdr:from>
    <xdr:ext cx="7819961" cy="937629"/>
    <xdr:sp macro="" textlink="">
      <xdr:nvSpPr>
        <xdr:cNvPr id="2" name="Rectangle 1"/>
        <xdr:cNvSpPr/>
      </xdr:nvSpPr>
      <xdr:spPr>
        <a:xfrm>
          <a:off x="22228825" y="9296732"/>
          <a:ext cx="781996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5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Don't Exit</a:t>
          </a:r>
          <a:r>
            <a:rPr lang="en-US" sz="5400" b="1" cap="none" spc="50" baseline="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 From this Sheet</a:t>
          </a:r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oneCellAnchor>
    <xdr:from>
      <xdr:col>6</xdr:col>
      <xdr:colOff>414950</xdr:colOff>
      <xdr:row>27</xdr:row>
      <xdr:rowOff>113168</xdr:rowOff>
    </xdr:from>
    <xdr:ext cx="7819961" cy="937629"/>
    <xdr:sp macro="" textlink="">
      <xdr:nvSpPr>
        <xdr:cNvPr id="3" name="Rectangle 2"/>
        <xdr:cNvSpPr/>
      </xdr:nvSpPr>
      <xdr:spPr>
        <a:xfrm>
          <a:off x="4630470" y="7978366"/>
          <a:ext cx="781996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5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Don't Exit</a:t>
          </a:r>
          <a:r>
            <a:rPr lang="en-US" sz="5400" b="1" cap="none" spc="50" baseline="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 From this Sheet</a:t>
          </a:r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109577</xdr:colOff>
      <xdr:row>11</xdr:row>
      <xdr:rowOff>124364</xdr:rowOff>
    </xdr:from>
    <xdr:ext cx="7819961" cy="937629"/>
    <xdr:sp macro="" textlink="">
      <xdr:nvSpPr>
        <xdr:cNvPr id="2" name="Rectangle 1"/>
        <xdr:cNvSpPr/>
      </xdr:nvSpPr>
      <xdr:spPr>
        <a:xfrm>
          <a:off x="5634077" y="5182139"/>
          <a:ext cx="781996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5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Don't Exit</a:t>
          </a:r>
          <a:r>
            <a:rPr lang="en-US" sz="5400" b="1" cap="none" spc="50" baseline="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 From this Sheet</a:t>
          </a:r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BC26"/>
  <sheetViews>
    <sheetView tabSelected="1" zoomScale="86" workbookViewId="0">
      <selection activeCell="H32" sqref="H32"/>
    </sheetView>
  </sheetViews>
  <sheetFormatPr defaultRowHeight="15"/>
  <cols>
    <col min="1" max="1" width="7" style="1" customWidth="1"/>
    <col min="2" max="2" width="25.5703125" style="2" bestFit="1" customWidth="1"/>
    <col min="3" max="3" width="3.85546875" style="2" customWidth="1"/>
    <col min="4" max="4" width="9.140625" style="2" customWidth="1"/>
    <col min="5" max="5" width="9.140625" style="2" bestFit="1" customWidth="1"/>
    <col min="6" max="6" width="9" style="2" customWidth="1"/>
    <col min="7" max="7" width="6.42578125" style="2" customWidth="1"/>
    <col min="8" max="8" width="22.28515625" style="2" bestFit="1" customWidth="1"/>
    <col min="9" max="10" width="9" style="2" customWidth="1"/>
    <col min="11" max="12" width="8" style="2" customWidth="1"/>
    <col min="13" max="13" width="10" style="2" customWidth="1"/>
    <col min="14" max="14" width="6.42578125" style="2" bestFit="1" customWidth="1"/>
    <col min="15" max="15" width="10" style="2" bestFit="1" customWidth="1"/>
    <col min="16" max="16" width="27.140625" style="2" customWidth="1"/>
    <col min="17" max="17" width="10" style="2" bestFit="1" customWidth="1"/>
    <col min="18" max="18" width="9.42578125" style="2" customWidth="1"/>
    <col min="19" max="32" width="3.7109375" style="1" customWidth="1"/>
    <col min="33" max="34" width="10.5703125" style="2" bestFit="1" customWidth="1"/>
    <col min="35" max="35" width="23.7109375" style="2" bestFit="1" customWidth="1"/>
    <col min="36" max="36" width="10.5703125" style="2" bestFit="1" customWidth="1"/>
    <col min="37" max="39" width="4.28515625" style="1" bestFit="1" customWidth="1"/>
    <col min="40" max="40" width="9.42578125" style="2" bestFit="1" customWidth="1"/>
    <col min="41" max="41" width="8.28515625" style="2" bestFit="1" customWidth="1"/>
    <col min="42" max="42" width="1.42578125" style="2" customWidth="1"/>
    <col min="43" max="43" width="19.28515625" style="2" customWidth="1"/>
    <col min="44" max="53" width="1.42578125" style="2" customWidth="1"/>
    <col min="54" max="54" width="3.7109375" style="2" customWidth="1"/>
    <col min="55" max="55" width="5.5703125" bestFit="1" customWidth="1"/>
  </cols>
  <sheetData>
    <row r="1" spans="1:55" ht="20.25" customHeight="1">
      <c r="A1" s="39" t="s">
        <v>75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23"/>
      <c r="AH1" s="23"/>
      <c r="AI1" s="23"/>
      <c r="AJ1" s="23"/>
      <c r="AK1" s="39"/>
      <c r="AL1" s="39"/>
      <c r="AM1" s="39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40">
        <f>'Design Table Calc1'!CK1</f>
        <v>0</v>
      </c>
    </row>
    <row r="2" spans="1:55" s="4" customFormat="1" ht="248.25">
      <c r="A2" s="19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18" t="s">
        <v>11</v>
      </c>
      <c r="N2" s="18" t="s">
        <v>19</v>
      </c>
      <c r="O2" s="18" t="s">
        <v>12</v>
      </c>
      <c r="P2" s="18" t="s">
        <v>78</v>
      </c>
      <c r="Q2" s="18" t="s">
        <v>14</v>
      </c>
      <c r="R2" s="18" t="s">
        <v>15</v>
      </c>
      <c r="S2" s="19" t="s">
        <v>25</v>
      </c>
      <c r="T2" s="19" t="s">
        <v>26</v>
      </c>
      <c r="U2" s="19" t="s">
        <v>45</v>
      </c>
      <c r="V2" s="19" t="s">
        <v>49</v>
      </c>
      <c r="W2" s="19" t="s">
        <v>46</v>
      </c>
      <c r="X2" s="19" t="s">
        <v>50</v>
      </c>
      <c r="Y2" s="19" t="s">
        <v>47</v>
      </c>
      <c r="Z2" s="19" t="s">
        <v>51</v>
      </c>
      <c r="AA2" s="19" t="s">
        <v>48</v>
      </c>
      <c r="AB2" s="19" t="s">
        <v>52</v>
      </c>
      <c r="AC2" s="19" t="s">
        <v>69</v>
      </c>
      <c r="AD2" s="19" t="s">
        <v>72</v>
      </c>
      <c r="AE2" s="19" t="s">
        <v>73</v>
      </c>
      <c r="AF2" s="19" t="s">
        <v>71</v>
      </c>
      <c r="AG2" s="18" t="s">
        <v>199</v>
      </c>
      <c r="AH2" s="18" t="s">
        <v>18</v>
      </c>
      <c r="AI2" s="18" t="s">
        <v>20</v>
      </c>
      <c r="AJ2" s="18" t="s">
        <v>21</v>
      </c>
      <c r="AK2" s="19" t="s">
        <v>27</v>
      </c>
      <c r="AL2" s="19" t="s">
        <v>28</v>
      </c>
      <c r="AM2" s="19" t="s">
        <v>74</v>
      </c>
      <c r="AN2" s="18" t="s">
        <v>201</v>
      </c>
      <c r="AO2" s="18" t="s">
        <v>202</v>
      </c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40">
        <f>'Design Table Calc1'!CK2</f>
        <v>0</v>
      </c>
    </row>
    <row r="3" spans="1:55">
      <c r="A3" s="39" t="s">
        <v>22</v>
      </c>
      <c r="B3" s="23" t="s">
        <v>79</v>
      </c>
      <c r="C3" s="23" t="s">
        <v>80</v>
      </c>
      <c r="D3" s="23">
        <v>16777215</v>
      </c>
      <c r="E3" s="24" t="s">
        <v>81</v>
      </c>
      <c r="F3" s="24" t="s">
        <v>82</v>
      </c>
      <c r="G3" s="24" t="s">
        <v>83</v>
      </c>
      <c r="H3" s="24" t="s">
        <v>167</v>
      </c>
      <c r="I3" s="24" t="s">
        <v>84</v>
      </c>
      <c r="J3" s="24" t="s">
        <v>76</v>
      </c>
      <c r="K3" s="24" t="s">
        <v>85</v>
      </c>
      <c r="L3" s="24" t="s">
        <v>83</v>
      </c>
      <c r="M3" s="24" t="s">
        <v>86</v>
      </c>
      <c r="N3" s="24" t="s">
        <v>87</v>
      </c>
      <c r="O3" s="24" t="s">
        <v>88</v>
      </c>
      <c r="P3" s="23" t="s">
        <v>13</v>
      </c>
      <c r="Q3" s="23"/>
      <c r="R3" s="25" t="s">
        <v>89</v>
      </c>
      <c r="S3" s="39" t="s">
        <v>17</v>
      </c>
      <c r="T3" s="39" t="s">
        <v>17</v>
      </c>
      <c r="U3" s="39" t="s">
        <v>17</v>
      </c>
      <c r="V3" s="39" t="s">
        <v>17</v>
      </c>
      <c r="W3" s="39" t="s">
        <v>90</v>
      </c>
      <c r="X3" s="39" t="s">
        <v>17</v>
      </c>
      <c r="Y3" s="39" t="s">
        <v>90</v>
      </c>
      <c r="Z3" s="39" t="s">
        <v>17</v>
      </c>
      <c r="AA3" s="39" t="s">
        <v>90</v>
      </c>
      <c r="AB3" s="39" t="s">
        <v>17</v>
      </c>
      <c r="AC3" s="39" t="s">
        <v>17</v>
      </c>
      <c r="AD3" s="39" t="s">
        <v>17</v>
      </c>
      <c r="AE3" s="39" t="s">
        <v>17</v>
      </c>
      <c r="AF3" s="39" t="s">
        <v>17</v>
      </c>
      <c r="AG3" s="24" t="s">
        <v>106</v>
      </c>
      <c r="AH3" s="24" t="s">
        <v>106</v>
      </c>
      <c r="AI3" s="24" t="s">
        <v>168</v>
      </c>
      <c r="AJ3" s="24" t="s">
        <v>169</v>
      </c>
      <c r="AK3" s="39" t="s">
        <v>17</v>
      </c>
      <c r="AL3" s="39" t="s">
        <v>17</v>
      </c>
      <c r="AM3" s="39" t="s">
        <v>17</v>
      </c>
      <c r="AN3" s="24" t="s">
        <v>76</v>
      </c>
      <c r="AO3" s="24" t="s">
        <v>86</v>
      </c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40">
        <f>'Design Table Calc1'!CK3</f>
        <v>0</v>
      </c>
    </row>
    <row r="4" spans="1:55">
      <c r="A4" s="39" t="s">
        <v>91</v>
      </c>
      <c r="B4" s="23" t="s">
        <v>92</v>
      </c>
      <c r="C4" s="23" t="s">
        <v>93</v>
      </c>
      <c r="D4" s="23">
        <v>16777215</v>
      </c>
      <c r="E4" s="24" t="s">
        <v>81</v>
      </c>
      <c r="F4" s="24" t="s">
        <v>82</v>
      </c>
      <c r="G4" s="24" t="s">
        <v>83</v>
      </c>
      <c r="H4" s="24" t="s">
        <v>167</v>
      </c>
      <c r="I4" s="24" t="s">
        <v>84</v>
      </c>
      <c r="J4" s="24" t="s">
        <v>76</v>
      </c>
      <c r="K4" s="24" t="s">
        <v>85</v>
      </c>
      <c r="L4" s="24" t="s">
        <v>83</v>
      </c>
      <c r="M4" s="24" t="s">
        <v>86</v>
      </c>
      <c r="N4" s="24" t="s">
        <v>87</v>
      </c>
      <c r="O4" s="24" t="s">
        <v>94</v>
      </c>
      <c r="P4" s="23" t="s">
        <v>13</v>
      </c>
      <c r="Q4" s="23" t="s">
        <v>22</v>
      </c>
      <c r="R4" s="25" t="s">
        <v>95</v>
      </c>
      <c r="S4" s="39" t="s">
        <v>203</v>
      </c>
      <c r="T4" s="39" t="s">
        <v>203</v>
      </c>
      <c r="U4" s="39" t="s">
        <v>203</v>
      </c>
      <c r="V4" s="39" t="s">
        <v>203</v>
      </c>
      <c r="W4" s="39" t="s">
        <v>203</v>
      </c>
      <c r="X4" s="39" t="s">
        <v>203</v>
      </c>
      <c r="Y4" s="39" t="s">
        <v>203</v>
      </c>
      <c r="Z4" s="39" t="s">
        <v>203</v>
      </c>
      <c r="AA4" s="39" t="s">
        <v>203</v>
      </c>
      <c r="AB4" s="39" t="s">
        <v>203</v>
      </c>
      <c r="AC4" s="39" t="s">
        <v>203</v>
      </c>
      <c r="AD4" s="39" t="s">
        <v>203</v>
      </c>
      <c r="AE4" s="39" t="s">
        <v>203</v>
      </c>
      <c r="AF4" s="39" t="s">
        <v>203</v>
      </c>
      <c r="AG4" s="24" t="s">
        <v>106</v>
      </c>
      <c r="AH4" s="24" t="s">
        <v>106</v>
      </c>
      <c r="AI4" s="24" t="s">
        <v>168</v>
      </c>
      <c r="AJ4" s="24" t="s">
        <v>169</v>
      </c>
      <c r="AK4" s="39" t="s">
        <v>203</v>
      </c>
      <c r="AL4" s="39" t="s">
        <v>203</v>
      </c>
      <c r="AM4" s="39" t="s">
        <v>203</v>
      </c>
      <c r="AN4" s="24" t="s">
        <v>76</v>
      </c>
      <c r="AO4" s="24" t="s">
        <v>86</v>
      </c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40">
        <f>'Design Table Calc1'!CK4</f>
        <v>0</v>
      </c>
    </row>
    <row r="5" spans="1:55">
      <c r="A5" s="39" t="s">
        <v>96</v>
      </c>
      <c r="B5" s="23" t="s">
        <v>97</v>
      </c>
      <c r="C5" s="23" t="s">
        <v>93</v>
      </c>
      <c r="D5" s="23">
        <v>16777215</v>
      </c>
      <c r="E5" s="24" t="s">
        <v>81</v>
      </c>
      <c r="F5" s="24" t="s">
        <v>82</v>
      </c>
      <c r="G5" s="24" t="s">
        <v>83</v>
      </c>
      <c r="H5" s="24" t="s">
        <v>167</v>
      </c>
      <c r="I5" s="24" t="s">
        <v>84</v>
      </c>
      <c r="J5" s="24" t="s">
        <v>76</v>
      </c>
      <c r="K5" s="24" t="s">
        <v>85</v>
      </c>
      <c r="L5" s="24" t="s">
        <v>83</v>
      </c>
      <c r="M5" s="24" t="s">
        <v>86</v>
      </c>
      <c r="N5" s="24" t="s">
        <v>87</v>
      </c>
      <c r="O5" s="24" t="s">
        <v>98</v>
      </c>
      <c r="P5" s="23" t="s">
        <v>13</v>
      </c>
      <c r="Q5" s="23" t="s">
        <v>22</v>
      </c>
      <c r="R5" s="25" t="s">
        <v>99</v>
      </c>
      <c r="S5" s="39" t="s">
        <v>203</v>
      </c>
      <c r="T5" s="39" t="s">
        <v>203</v>
      </c>
      <c r="U5" s="39" t="s">
        <v>203</v>
      </c>
      <c r="V5" s="39" t="s">
        <v>203</v>
      </c>
      <c r="W5" s="39" t="s">
        <v>203</v>
      </c>
      <c r="X5" s="39" t="s">
        <v>203</v>
      </c>
      <c r="Y5" s="39" t="s">
        <v>203</v>
      </c>
      <c r="Z5" s="39" t="s">
        <v>203</v>
      </c>
      <c r="AA5" s="39" t="s">
        <v>203</v>
      </c>
      <c r="AB5" s="39" t="s">
        <v>203</v>
      </c>
      <c r="AC5" s="39" t="s">
        <v>203</v>
      </c>
      <c r="AD5" s="39" t="s">
        <v>203</v>
      </c>
      <c r="AE5" s="39" t="s">
        <v>203</v>
      </c>
      <c r="AF5" s="39" t="s">
        <v>203</v>
      </c>
      <c r="AG5" s="24" t="s">
        <v>106</v>
      </c>
      <c r="AH5" s="24" t="s">
        <v>106</v>
      </c>
      <c r="AI5" s="24" t="s">
        <v>168</v>
      </c>
      <c r="AJ5" s="24" t="s">
        <v>169</v>
      </c>
      <c r="AK5" s="39" t="s">
        <v>203</v>
      </c>
      <c r="AL5" s="39" t="s">
        <v>203</v>
      </c>
      <c r="AM5" s="39" t="s">
        <v>203</v>
      </c>
      <c r="AN5" s="24" t="s">
        <v>76</v>
      </c>
      <c r="AO5" s="24" t="s">
        <v>86</v>
      </c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40">
        <f>'Design Table Calc1'!CK5</f>
        <v>0</v>
      </c>
    </row>
    <row r="6" spans="1:55">
      <c r="A6" s="39" t="s">
        <v>23</v>
      </c>
      <c r="B6" s="23" t="s">
        <v>100</v>
      </c>
      <c r="C6" s="23" t="s">
        <v>80</v>
      </c>
      <c r="D6" s="23">
        <v>328965</v>
      </c>
      <c r="E6" s="24" t="s">
        <v>101</v>
      </c>
      <c r="F6" s="24" t="s">
        <v>102</v>
      </c>
      <c r="G6" s="24" t="s">
        <v>83</v>
      </c>
      <c r="H6" s="24" t="s">
        <v>170</v>
      </c>
      <c r="I6" s="24" t="s">
        <v>103</v>
      </c>
      <c r="J6" s="24" t="s">
        <v>104</v>
      </c>
      <c r="K6" s="24" t="s">
        <v>105</v>
      </c>
      <c r="L6" s="24" t="s">
        <v>87</v>
      </c>
      <c r="M6" s="24" t="s">
        <v>106</v>
      </c>
      <c r="N6" s="24" t="s">
        <v>87</v>
      </c>
      <c r="O6" s="24" t="s">
        <v>107</v>
      </c>
      <c r="P6" s="23" t="s">
        <v>16</v>
      </c>
      <c r="Q6" s="23"/>
      <c r="R6" s="25" t="s">
        <v>108</v>
      </c>
      <c r="S6" s="39" t="s">
        <v>90</v>
      </c>
      <c r="T6" s="39" t="s">
        <v>90</v>
      </c>
      <c r="U6" s="39" t="s">
        <v>90</v>
      </c>
      <c r="V6" s="39" t="s">
        <v>17</v>
      </c>
      <c r="W6" s="39" t="s">
        <v>17</v>
      </c>
      <c r="X6" s="39" t="s">
        <v>17</v>
      </c>
      <c r="Y6" s="39" t="s">
        <v>90</v>
      </c>
      <c r="Z6" s="39" t="s">
        <v>17</v>
      </c>
      <c r="AA6" s="39" t="s">
        <v>90</v>
      </c>
      <c r="AB6" s="39" t="s">
        <v>17</v>
      </c>
      <c r="AC6" s="39" t="s">
        <v>17</v>
      </c>
      <c r="AD6" s="39" t="s">
        <v>17</v>
      </c>
      <c r="AE6" s="39" t="s">
        <v>17</v>
      </c>
      <c r="AF6" s="39" t="s">
        <v>17</v>
      </c>
      <c r="AG6" s="24" t="s">
        <v>53</v>
      </c>
      <c r="AH6" s="24" t="s">
        <v>53</v>
      </c>
      <c r="AI6" s="24" t="s">
        <v>171</v>
      </c>
      <c r="AJ6" s="24" t="s">
        <v>172</v>
      </c>
      <c r="AK6" s="39" t="s">
        <v>17</v>
      </c>
      <c r="AL6" s="39" t="s">
        <v>17</v>
      </c>
      <c r="AM6" s="39" t="s">
        <v>17</v>
      </c>
      <c r="AN6" s="24" t="s">
        <v>76</v>
      </c>
      <c r="AO6" s="24" t="s">
        <v>86</v>
      </c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40">
        <f>'Design Table Calc1'!CK6</f>
        <v>0</v>
      </c>
    </row>
    <row r="7" spans="1:55">
      <c r="A7" s="39" t="s">
        <v>109</v>
      </c>
      <c r="B7" s="23" t="s">
        <v>110</v>
      </c>
      <c r="C7" s="23" t="s">
        <v>93</v>
      </c>
      <c r="D7" s="23">
        <v>328965</v>
      </c>
      <c r="E7" s="24" t="s">
        <v>101</v>
      </c>
      <c r="F7" s="24" t="s">
        <v>102</v>
      </c>
      <c r="G7" s="24" t="s">
        <v>83</v>
      </c>
      <c r="H7" s="24" t="s">
        <v>170</v>
      </c>
      <c r="I7" s="24" t="s">
        <v>103</v>
      </c>
      <c r="J7" s="24" t="s">
        <v>104</v>
      </c>
      <c r="K7" s="24" t="s">
        <v>105</v>
      </c>
      <c r="L7" s="24" t="s">
        <v>87</v>
      </c>
      <c r="M7" s="24" t="s">
        <v>106</v>
      </c>
      <c r="N7" s="24" t="s">
        <v>87</v>
      </c>
      <c r="O7" s="24" t="s">
        <v>111</v>
      </c>
      <c r="P7" s="23" t="s">
        <v>16</v>
      </c>
      <c r="Q7" s="23" t="s">
        <v>23</v>
      </c>
      <c r="R7" s="25" t="s">
        <v>112</v>
      </c>
      <c r="S7" s="39" t="s">
        <v>203</v>
      </c>
      <c r="T7" s="39" t="s">
        <v>203</v>
      </c>
      <c r="U7" s="39" t="s">
        <v>203</v>
      </c>
      <c r="V7" s="39" t="s">
        <v>203</v>
      </c>
      <c r="W7" s="39" t="s">
        <v>203</v>
      </c>
      <c r="X7" s="39" t="s">
        <v>203</v>
      </c>
      <c r="Y7" s="39" t="s">
        <v>203</v>
      </c>
      <c r="Z7" s="39" t="s">
        <v>203</v>
      </c>
      <c r="AA7" s="39" t="s">
        <v>203</v>
      </c>
      <c r="AB7" s="39" t="s">
        <v>203</v>
      </c>
      <c r="AC7" s="39" t="s">
        <v>203</v>
      </c>
      <c r="AD7" s="39" t="s">
        <v>203</v>
      </c>
      <c r="AE7" s="39" t="s">
        <v>203</v>
      </c>
      <c r="AF7" s="39" t="s">
        <v>203</v>
      </c>
      <c r="AG7" s="24" t="s">
        <v>53</v>
      </c>
      <c r="AH7" s="24" t="s">
        <v>53</v>
      </c>
      <c r="AI7" s="24" t="s">
        <v>171</v>
      </c>
      <c r="AJ7" s="24" t="s">
        <v>172</v>
      </c>
      <c r="AK7" s="39" t="s">
        <v>203</v>
      </c>
      <c r="AL7" s="39" t="s">
        <v>203</v>
      </c>
      <c r="AM7" s="39" t="s">
        <v>203</v>
      </c>
      <c r="AN7" s="24" t="s">
        <v>76</v>
      </c>
      <c r="AO7" s="24" t="s">
        <v>86</v>
      </c>
      <c r="AP7" s="24"/>
      <c r="AQ7" s="24"/>
      <c r="AR7" s="24"/>
      <c r="AS7" s="24"/>
      <c r="AT7" s="23"/>
      <c r="AU7" s="23"/>
      <c r="AV7" s="23"/>
      <c r="AW7" s="23"/>
      <c r="AX7" s="23"/>
      <c r="AY7" s="23"/>
      <c r="AZ7" s="23"/>
      <c r="BA7" s="23"/>
      <c r="BB7" s="23"/>
      <c r="BC7" s="40">
        <f>'Design Table Calc1'!CK7</f>
        <v>0</v>
      </c>
    </row>
    <row r="8" spans="1:55">
      <c r="A8" s="39" t="s">
        <v>113</v>
      </c>
      <c r="B8" s="23" t="s">
        <v>114</v>
      </c>
      <c r="C8" s="23" t="s">
        <v>93</v>
      </c>
      <c r="D8" s="23">
        <v>328965</v>
      </c>
      <c r="E8" s="24" t="s">
        <v>101</v>
      </c>
      <c r="F8" s="24" t="s">
        <v>102</v>
      </c>
      <c r="G8" s="24" t="s">
        <v>83</v>
      </c>
      <c r="H8" s="24" t="s">
        <v>170</v>
      </c>
      <c r="I8" s="24" t="s">
        <v>103</v>
      </c>
      <c r="J8" s="24" t="s">
        <v>104</v>
      </c>
      <c r="K8" s="24" t="s">
        <v>105</v>
      </c>
      <c r="L8" s="24" t="s">
        <v>87</v>
      </c>
      <c r="M8" s="24" t="s">
        <v>106</v>
      </c>
      <c r="N8" s="24" t="s">
        <v>87</v>
      </c>
      <c r="O8" s="24" t="s">
        <v>115</v>
      </c>
      <c r="P8" s="23" t="s">
        <v>16</v>
      </c>
      <c r="Q8" s="23" t="s">
        <v>23</v>
      </c>
      <c r="R8" s="25" t="s">
        <v>116</v>
      </c>
      <c r="S8" s="39" t="s">
        <v>203</v>
      </c>
      <c r="T8" s="39" t="s">
        <v>203</v>
      </c>
      <c r="U8" s="39" t="s">
        <v>203</v>
      </c>
      <c r="V8" s="39" t="s">
        <v>203</v>
      </c>
      <c r="W8" s="39" t="s">
        <v>203</v>
      </c>
      <c r="X8" s="39" t="s">
        <v>203</v>
      </c>
      <c r="Y8" s="39" t="s">
        <v>203</v>
      </c>
      <c r="Z8" s="39" t="s">
        <v>203</v>
      </c>
      <c r="AA8" s="39" t="s">
        <v>203</v>
      </c>
      <c r="AB8" s="39" t="s">
        <v>203</v>
      </c>
      <c r="AC8" s="39" t="s">
        <v>203</v>
      </c>
      <c r="AD8" s="39" t="s">
        <v>203</v>
      </c>
      <c r="AE8" s="39" t="s">
        <v>203</v>
      </c>
      <c r="AF8" s="39" t="s">
        <v>203</v>
      </c>
      <c r="AG8" s="24" t="s">
        <v>53</v>
      </c>
      <c r="AH8" s="24" t="s">
        <v>53</v>
      </c>
      <c r="AI8" s="24" t="s">
        <v>171</v>
      </c>
      <c r="AJ8" s="24" t="s">
        <v>172</v>
      </c>
      <c r="AK8" s="39" t="s">
        <v>203</v>
      </c>
      <c r="AL8" s="39" t="s">
        <v>203</v>
      </c>
      <c r="AM8" s="39" t="s">
        <v>203</v>
      </c>
      <c r="AN8" s="24" t="s">
        <v>76</v>
      </c>
      <c r="AO8" s="24" t="s">
        <v>86</v>
      </c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40">
        <f>'Design Table Calc1'!CK8</f>
        <v>0</v>
      </c>
    </row>
    <row r="9" spans="1:55">
      <c r="A9" s="39" t="s">
        <v>24</v>
      </c>
      <c r="B9" s="23" t="s">
        <v>117</v>
      </c>
      <c r="C9" s="23" t="s">
        <v>80</v>
      </c>
      <c r="D9" s="23">
        <v>328965</v>
      </c>
      <c r="E9" s="24" t="s">
        <v>118</v>
      </c>
      <c r="F9" s="24" t="s">
        <v>102</v>
      </c>
      <c r="G9" s="24" t="s">
        <v>83</v>
      </c>
      <c r="H9" s="24" t="s">
        <v>173</v>
      </c>
      <c r="I9" s="24" t="s">
        <v>119</v>
      </c>
      <c r="J9" s="24" t="s">
        <v>120</v>
      </c>
      <c r="K9" s="24" t="s">
        <v>121</v>
      </c>
      <c r="L9" s="24" t="s">
        <v>122</v>
      </c>
      <c r="M9" s="24" t="s">
        <v>106</v>
      </c>
      <c r="N9" s="24" t="s">
        <v>87</v>
      </c>
      <c r="O9" s="24" t="s">
        <v>98</v>
      </c>
      <c r="P9" s="23" t="s">
        <v>16</v>
      </c>
      <c r="Q9" s="23"/>
      <c r="R9" s="25" t="s">
        <v>99</v>
      </c>
      <c r="S9" s="39" t="s">
        <v>90</v>
      </c>
      <c r="T9" s="39" t="s">
        <v>90</v>
      </c>
      <c r="U9" s="39" t="s">
        <v>90</v>
      </c>
      <c r="V9" s="39" t="s">
        <v>17</v>
      </c>
      <c r="W9" s="39" t="s">
        <v>90</v>
      </c>
      <c r="X9" s="39" t="s">
        <v>17</v>
      </c>
      <c r="Y9" s="39" t="s">
        <v>17</v>
      </c>
      <c r="Z9" s="39" t="s">
        <v>17</v>
      </c>
      <c r="AA9" s="39" t="s">
        <v>90</v>
      </c>
      <c r="AB9" s="39" t="s">
        <v>17</v>
      </c>
      <c r="AC9" s="39" t="s">
        <v>17</v>
      </c>
      <c r="AD9" s="39" t="s">
        <v>17</v>
      </c>
      <c r="AE9" s="39" t="s">
        <v>17</v>
      </c>
      <c r="AF9" s="39" t="s">
        <v>17</v>
      </c>
      <c r="AG9" s="24" t="s">
        <v>83</v>
      </c>
      <c r="AH9" s="24" t="s">
        <v>53</v>
      </c>
      <c r="AI9" s="24" t="s">
        <v>174</v>
      </c>
      <c r="AJ9" s="24" t="s">
        <v>175</v>
      </c>
      <c r="AK9" s="39" t="s">
        <v>17</v>
      </c>
      <c r="AL9" s="39" t="s">
        <v>17</v>
      </c>
      <c r="AM9" s="39" t="s">
        <v>17</v>
      </c>
      <c r="AN9" s="24" t="s">
        <v>77</v>
      </c>
      <c r="AO9" s="24" t="s">
        <v>86</v>
      </c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40">
        <f>'Design Table Calc1'!CK9</f>
        <v>0</v>
      </c>
    </row>
    <row r="10" spans="1:55">
      <c r="A10" s="39" t="s">
        <v>123</v>
      </c>
      <c r="B10" s="23" t="s">
        <v>124</v>
      </c>
      <c r="C10" s="23" t="s">
        <v>93</v>
      </c>
      <c r="D10" s="23">
        <v>328965</v>
      </c>
      <c r="E10" s="24" t="s">
        <v>118</v>
      </c>
      <c r="F10" s="24" t="s">
        <v>102</v>
      </c>
      <c r="G10" s="24" t="s">
        <v>83</v>
      </c>
      <c r="H10" s="24" t="s">
        <v>173</v>
      </c>
      <c r="I10" s="24" t="s">
        <v>119</v>
      </c>
      <c r="J10" s="24" t="s">
        <v>120</v>
      </c>
      <c r="K10" s="24" t="s">
        <v>121</v>
      </c>
      <c r="L10" s="24" t="s">
        <v>122</v>
      </c>
      <c r="M10" s="24" t="s">
        <v>106</v>
      </c>
      <c r="N10" s="24" t="s">
        <v>87</v>
      </c>
      <c r="O10" s="24" t="s">
        <v>107</v>
      </c>
      <c r="P10" s="23" t="s">
        <v>16</v>
      </c>
      <c r="Q10" s="23" t="s">
        <v>24</v>
      </c>
      <c r="R10" s="25" t="s">
        <v>108</v>
      </c>
      <c r="S10" s="39" t="s">
        <v>203</v>
      </c>
      <c r="T10" s="39" t="s">
        <v>203</v>
      </c>
      <c r="U10" s="39" t="s">
        <v>203</v>
      </c>
      <c r="V10" s="39" t="s">
        <v>203</v>
      </c>
      <c r="W10" s="39"/>
      <c r="X10" s="39"/>
      <c r="Y10" s="39"/>
      <c r="Z10" s="39"/>
      <c r="AA10" s="39"/>
      <c r="AB10" s="39"/>
      <c r="AC10" s="39"/>
      <c r="AD10" s="39" t="s">
        <v>203</v>
      </c>
      <c r="AE10" s="39" t="s">
        <v>203</v>
      </c>
      <c r="AF10" s="39" t="s">
        <v>203</v>
      </c>
      <c r="AG10" s="24" t="s">
        <v>83</v>
      </c>
      <c r="AH10" s="24" t="s">
        <v>53</v>
      </c>
      <c r="AI10" s="24" t="s">
        <v>174</v>
      </c>
      <c r="AJ10" s="24" t="s">
        <v>175</v>
      </c>
      <c r="AK10" s="39"/>
      <c r="AL10" s="39"/>
      <c r="AM10" s="39" t="s">
        <v>203</v>
      </c>
      <c r="AN10" s="24" t="s">
        <v>77</v>
      </c>
      <c r="AO10" s="24" t="s">
        <v>86</v>
      </c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40">
        <f>'Design Table Calc1'!CK10</f>
        <v>0</v>
      </c>
    </row>
    <row r="11" spans="1:55">
      <c r="A11" s="39" t="s">
        <v>125</v>
      </c>
      <c r="B11" s="23" t="s">
        <v>126</v>
      </c>
      <c r="C11" s="23" t="s">
        <v>93</v>
      </c>
      <c r="D11" s="23">
        <v>328965</v>
      </c>
      <c r="E11" s="24" t="s">
        <v>118</v>
      </c>
      <c r="F11" s="24" t="s">
        <v>102</v>
      </c>
      <c r="G11" s="24" t="s">
        <v>83</v>
      </c>
      <c r="H11" s="24" t="s">
        <v>173</v>
      </c>
      <c r="I11" s="24" t="s">
        <v>119</v>
      </c>
      <c r="J11" s="24" t="s">
        <v>120</v>
      </c>
      <c r="K11" s="24" t="s">
        <v>121</v>
      </c>
      <c r="L11" s="24" t="s">
        <v>122</v>
      </c>
      <c r="M11" s="24" t="s">
        <v>106</v>
      </c>
      <c r="N11" s="24" t="s">
        <v>87</v>
      </c>
      <c r="O11" s="24" t="s">
        <v>111</v>
      </c>
      <c r="P11" s="23" t="s">
        <v>16</v>
      </c>
      <c r="Q11" s="23" t="s">
        <v>24</v>
      </c>
      <c r="R11" s="25" t="s">
        <v>112</v>
      </c>
      <c r="S11" s="39" t="s">
        <v>203</v>
      </c>
      <c r="T11" s="39" t="s">
        <v>203</v>
      </c>
      <c r="U11" s="39" t="s">
        <v>203</v>
      </c>
      <c r="V11" s="39" t="s">
        <v>203</v>
      </c>
      <c r="W11" s="39"/>
      <c r="X11" s="39"/>
      <c r="Y11" s="39"/>
      <c r="Z11" s="39"/>
      <c r="AA11" s="39"/>
      <c r="AB11" s="39"/>
      <c r="AC11" s="39"/>
      <c r="AD11" s="39" t="s">
        <v>203</v>
      </c>
      <c r="AE11" s="39" t="s">
        <v>203</v>
      </c>
      <c r="AF11" s="39" t="s">
        <v>203</v>
      </c>
      <c r="AG11" s="24" t="s">
        <v>83</v>
      </c>
      <c r="AH11" s="24" t="s">
        <v>53</v>
      </c>
      <c r="AI11" s="24" t="s">
        <v>174</v>
      </c>
      <c r="AJ11" s="24" t="s">
        <v>175</v>
      </c>
      <c r="AK11" s="39"/>
      <c r="AL11" s="39"/>
      <c r="AM11" s="39" t="s">
        <v>203</v>
      </c>
      <c r="AN11" s="24" t="s">
        <v>77</v>
      </c>
      <c r="AO11" s="24" t="s">
        <v>86</v>
      </c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40">
        <f>'Design Table Calc1'!CK11</f>
        <v>0</v>
      </c>
    </row>
    <row r="12" spans="1:55">
      <c r="A12" s="39" t="s">
        <v>127</v>
      </c>
      <c r="B12" s="23" t="s">
        <v>128</v>
      </c>
      <c r="C12" s="23" t="s">
        <v>93</v>
      </c>
      <c r="D12" s="23">
        <v>328965</v>
      </c>
      <c r="E12" s="24" t="s">
        <v>118</v>
      </c>
      <c r="F12" s="24" t="s">
        <v>102</v>
      </c>
      <c r="G12" s="24" t="s">
        <v>83</v>
      </c>
      <c r="H12" s="24" t="s">
        <v>173</v>
      </c>
      <c r="I12" s="24" t="s">
        <v>119</v>
      </c>
      <c r="J12" s="24" t="s">
        <v>120</v>
      </c>
      <c r="K12" s="24" t="s">
        <v>121</v>
      </c>
      <c r="L12" s="24" t="s">
        <v>122</v>
      </c>
      <c r="M12" s="24" t="s">
        <v>106</v>
      </c>
      <c r="N12" s="24" t="s">
        <v>87</v>
      </c>
      <c r="O12" s="24" t="s">
        <v>115</v>
      </c>
      <c r="P12" s="23" t="s">
        <v>16</v>
      </c>
      <c r="Q12" s="23" t="s">
        <v>24</v>
      </c>
      <c r="R12" s="25" t="s">
        <v>116</v>
      </c>
      <c r="S12" s="39" t="s">
        <v>203</v>
      </c>
      <c r="T12" s="39" t="s">
        <v>203</v>
      </c>
      <c r="U12" s="39" t="s">
        <v>203</v>
      </c>
      <c r="V12" s="39" t="s">
        <v>203</v>
      </c>
      <c r="W12" s="39"/>
      <c r="X12" s="39"/>
      <c r="Y12" s="39"/>
      <c r="Z12" s="39"/>
      <c r="AA12" s="39"/>
      <c r="AB12" s="39"/>
      <c r="AC12" s="39"/>
      <c r="AD12" s="39" t="s">
        <v>203</v>
      </c>
      <c r="AE12" s="39" t="s">
        <v>203</v>
      </c>
      <c r="AF12" s="39" t="s">
        <v>203</v>
      </c>
      <c r="AG12" s="24" t="s">
        <v>83</v>
      </c>
      <c r="AH12" s="24" t="s">
        <v>53</v>
      </c>
      <c r="AI12" s="24" t="s">
        <v>174</v>
      </c>
      <c r="AJ12" s="24" t="s">
        <v>175</v>
      </c>
      <c r="AK12" s="39"/>
      <c r="AL12" s="39"/>
      <c r="AM12" s="39" t="s">
        <v>203</v>
      </c>
      <c r="AN12" s="24" t="s">
        <v>77</v>
      </c>
      <c r="AO12" s="24" t="s">
        <v>86</v>
      </c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40">
        <f>'Design Table Calc1'!CK12</f>
        <v>0</v>
      </c>
    </row>
    <row r="13" spans="1:55">
      <c r="A13" s="39" t="s">
        <v>29</v>
      </c>
      <c r="B13" s="23" t="s">
        <v>129</v>
      </c>
      <c r="C13" s="23" t="s">
        <v>80</v>
      </c>
      <c r="D13" s="23">
        <v>328965</v>
      </c>
      <c r="E13" s="24" t="s">
        <v>130</v>
      </c>
      <c r="F13" s="24" t="s">
        <v>102</v>
      </c>
      <c r="G13" s="24" t="s">
        <v>83</v>
      </c>
      <c r="H13" s="24" t="s">
        <v>176</v>
      </c>
      <c r="I13" s="24" t="s">
        <v>131</v>
      </c>
      <c r="J13" s="24" t="s">
        <v>132</v>
      </c>
      <c r="K13" s="24" t="s">
        <v>133</v>
      </c>
      <c r="L13" s="24" t="s">
        <v>104</v>
      </c>
      <c r="M13" s="24" t="s">
        <v>106</v>
      </c>
      <c r="N13" s="24" t="s">
        <v>87</v>
      </c>
      <c r="O13" s="24" t="s">
        <v>88</v>
      </c>
      <c r="P13" s="23" t="s">
        <v>16</v>
      </c>
      <c r="Q13" s="23"/>
      <c r="R13" s="25" t="s">
        <v>89</v>
      </c>
      <c r="S13" s="39" t="s">
        <v>90</v>
      </c>
      <c r="T13" s="39" t="s">
        <v>90</v>
      </c>
      <c r="U13" s="39" t="s">
        <v>90</v>
      </c>
      <c r="V13" s="39" t="s">
        <v>17</v>
      </c>
      <c r="W13" s="39" t="s">
        <v>90</v>
      </c>
      <c r="X13" s="39" t="s">
        <v>17</v>
      </c>
      <c r="Y13" s="39" t="s">
        <v>90</v>
      </c>
      <c r="Z13" s="39" t="s">
        <v>17</v>
      </c>
      <c r="AA13" s="39" t="s">
        <v>17</v>
      </c>
      <c r="AB13" s="39" t="s">
        <v>17</v>
      </c>
      <c r="AC13" s="39" t="s">
        <v>17</v>
      </c>
      <c r="AD13" s="39" t="s">
        <v>17</v>
      </c>
      <c r="AE13" s="39" t="s">
        <v>17</v>
      </c>
      <c r="AF13" s="39" t="s">
        <v>17</v>
      </c>
      <c r="AG13" s="24" t="s">
        <v>106</v>
      </c>
      <c r="AH13" s="24" t="s">
        <v>106</v>
      </c>
      <c r="AI13" s="24" t="s">
        <v>177</v>
      </c>
      <c r="AJ13" s="24" t="s">
        <v>178</v>
      </c>
      <c r="AK13" s="39" t="s">
        <v>17</v>
      </c>
      <c r="AL13" s="39" t="s">
        <v>17</v>
      </c>
      <c r="AM13" s="39" t="s">
        <v>17</v>
      </c>
      <c r="AN13" s="24" t="s">
        <v>205</v>
      </c>
      <c r="AO13" s="24" t="s">
        <v>86</v>
      </c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40">
        <f>'Design Table Calc1'!CK13</f>
        <v>0</v>
      </c>
    </row>
    <row r="14" spans="1:55">
      <c r="A14" s="39" t="s">
        <v>134</v>
      </c>
      <c r="B14" s="23" t="s">
        <v>135</v>
      </c>
      <c r="C14" s="23" t="s">
        <v>93</v>
      </c>
      <c r="D14" s="23">
        <v>328965</v>
      </c>
      <c r="E14" s="24" t="s">
        <v>130</v>
      </c>
      <c r="F14" s="24" t="s">
        <v>102</v>
      </c>
      <c r="G14" s="24" t="s">
        <v>83</v>
      </c>
      <c r="H14" s="24" t="s">
        <v>176</v>
      </c>
      <c r="I14" s="24" t="s">
        <v>131</v>
      </c>
      <c r="J14" s="24" t="s">
        <v>132</v>
      </c>
      <c r="K14" s="24" t="s">
        <v>133</v>
      </c>
      <c r="L14" s="24" t="s">
        <v>104</v>
      </c>
      <c r="M14" s="24" t="s">
        <v>106</v>
      </c>
      <c r="N14" s="24" t="s">
        <v>87</v>
      </c>
      <c r="O14" s="24" t="s">
        <v>94</v>
      </c>
      <c r="P14" s="23" t="s">
        <v>16</v>
      </c>
      <c r="Q14" s="23" t="s">
        <v>29</v>
      </c>
      <c r="R14" s="25" t="s">
        <v>95</v>
      </c>
      <c r="S14" s="39" t="s">
        <v>203</v>
      </c>
      <c r="T14" s="39" t="s">
        <v>203</v>
      </c>
      <c r="U14" s="39" t="s">
        <v>203</v>
      </c>
      <c r="V14" s="39" t="s">
        <v>203</v>
      </c>
      <c r="W14" s="39" t="s">
        <v>203</v>
      </c>
      <c r="X14" s="39"/>
      <c r="Y14" s="39"/>
      <c r="Z14" s="39"/>
      <c r="AA14" s="39"/>
      <c r="AB14" s="39"/>
      <c r="AC14" s="39"/>
      <c r="AD14" s="39"/>
      <c r="AE14" s="39" t="s">
        <v>203</v>
      </c>
      <c r="AF14" s="39" t="s">
        <v>203</v>
      </c>
      <c r="AG14" s="24" t="s">
        <v>106</v>
      </c>
      <c r="AH14" s="24" t="s">
        <v>106</v>
      </c>
      <c r="AI14" s="24" t="s">
        <v>177</v>
      </c>
      <c r="AJ14" s="24" t="s">
        <v>178</v>
      </c>
      <c r="AK14" s="39" t="s">
        <v>203</v>
      </c>
      <c r="AL14" s="39" t="s">
        <v>203</v>
      </c>
      <c r="AM14" s="39" t="s">
        <v>203</v>
      </c>
      <c r="AN14" s="24" t="s">
        <v>205</v>
      </c>
      <c r="AO14" s="24" t="s">
        <v>86</v>
      </c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40">
        <f>'Design Table Calc1'!CK14</f>
        <v>0</v>
      </c>
    </row>
    <row r="15" spans="1:55">
      <c r="A15" s="39" t="s">
        <v>136</v>
      </c>
      <c r="B15" s="23" t="s">
        <v>137</v>
      </c>
      <c r="C15" s="23" t="s">
        <v>93</v>
      </c>
      <c r="D15" s="23">
        <v>328965</v>
      </c>
      <c r="E15" s="24" t="s">
        <v>130</v>
      </c>
      <c r="F15" s="24" t="s">
        <v>102</v>
      </c>
      <c r="G15" s="24" t="s">
        <v>83</v>
      </c>
      <c r="H15" s="24" t="s">
        <v>176</v>
      </c>
      <c r="I15" s="24" t="s">
        <v>131</v>
      </c>
      <c r="J15" s="24" t="s">
        <v>132</v>
      </c>
      <c r="K15" s="24" t="s">
        <v>133</v>
      </c>
      <c r="L15" s="24" t="s">
        <v>104</v>
      </c>
      <c r="M15" s="24" t="s">
        <v>106</v>
      </c>
      <c r="N15" s="24" t="s">
        <v>87</v>
      </c>
      <c r="O15" s="24" t="s">
        <v>98</v>
      </c>
      <c r="P15" s="23" t="s">
        <v>16</v>
      </c>
      <c r="Q15" s="23" t="s">
        <v>29</v>
      </c>
      <c r="R15" s="25" t="s">
        <v>99</v>
      </c>
      <c r="S15" s="39" t="s">
        <v>203</v>
      </c>
      <c r="T15" s="39" t="s">
        <v>203</v>
      </c>
      <c r="U15" s="39" t="s">
        <v>203</v>
      </c>
      <c r="V15" s="39" t="s">
        <v>203</v>
      </c>
      <c r="W15" s="39" t="s">
        <v>203</v>
      </c>
      <c r="X15" s="39"/>
      <c r="Y15" s="39"/>
      <c r="Z15" s="39"/>
      <c r="AA15" s="39"/>
      <c r="AB15" s="39"/>
      <c r="AC15" s="39"/>
      <c r="AD15" s="39"/>
      <c r="AE15" s="39" t="s">
        <v>203</v>
      </c>
      <c r="AF15" s="39" t="s">
        <v>203</v>
      </c>
      <c r="AG15" s="24" t="s">
        <v>106</v>
      </c>
      <c r="AH15" s="24" t="s">
        <v>106</v>
      </c>
      <c r="AI15" s="24" t="s">
        <v>177</v>
      </c>
      <c r="AJ15" s="24" t="s">
        <v>178</v>
      </c>
      <c r="AK15" s="39" t="s">
        <v>203</v>
      </c>
      <c r="AL15" s="39" t="s">
        <v>203</v>
      </c>
      <c r="AM15" s="39" t="s">
        <v>203</v>
      </c>
      <c r="AN15" s="24" t="s">
        <v>205</v>
      </c>
      <c r="AO15" s="24" t="s">
        <v>86</v>
      </c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40">
        <f>'Design Table Calc1'!CK15</f>
        <v>0</v>
      </c>
    </row>
    <row r="16" spans="1:55">
      <c r="A16" s="39" t="s">
        <v>138</v>
      </c>
      <c r="B16" s="23" t="s">
        <v>139</v>
      </c>
      <c r="C16" s="23" t="s">
        <v>93</v>
      </c>
      <c r="D16" s="23">
        <v>328965</v>
      </c>
      <c r="E16" s="24" t="s">
        <v>130</v>
      </c>
      <c r="F16" s="24" t="s">
        <v>102</v>
      </c>
      <c r="G16" s="24" t="s">
        <v>83</v>
      </c>
      <c r="H16" s="24" t="s">
        <v>176</v>
      </c>
      <c r="I16" s="24" t="s">
        <v>131</v>
      </c>
      <c r="J16" s="24" t="s">
        <v>132</v>
      </c>
      <c r="K16" s="24" t="s">
        <v>133</v>
      </c>
      <c r="L16" s="24" t="s">
        <v>104</v>
      </c>
      <c r="M16" s="24" t="s">
        <v>106</v>
      </c>
      <c r="N16" s="24" t="s">
        <v>87</v>
      </c>
      <c r="O16" s="24" t="s">
        <v>107</v>
      </c>
      <c r="P16" s="23" t="s">
        <v>16</v>
      </c>
      <c r="Q16" s="23" t="s">
        <v>29</v>
      </c>
      <c r="R16" s="25" t="s">
        <v>108</v>
      </c>
      <c r="S16" s="39" t="s">
        <v>203</v>
      </c>
      <c r="T16" s="39" t="s">
        <v>203</v>
      </c>
      <c r="U16" s="39" t="s">
        <v>203</v>
      </c>
      <c r="V16" s="39" t="s">
        <v>203</v>
      </c>
      <c r="W16" s="39" t="s">
        <v>203</v>
      </c>
      <c r="X16" s="39"/>
      <c r="Y16" s="39"/>
      <c r="Z16" s="39"/>
      <c r="AA16" s="39"/>
      <c r="AB16" s="39"/>
      <c r="AC16" s="39"/>
      <c r="AD16" s="39"/>
      <c r="AE16" s="39" t="s">
        <v>203</v>
      </c>
      <c r="AF16" s="39" t="s">
        <v>17</v>
      </c>
      <c r="AG16" s="24" t="s">
        <v>106</v>
      </c>
      <c r="AH16" s="24" t="s">
        <v>106</v>
      </c>
      <c r="AI16" s="24" t="s">
        <v>177</v>
      </c>
      <c r="AJ16" s="24" t="s">
        <v>178</v>
      </c>
      <c r="AK16" s="39" t="s">
        <v>203</v>
      </c>
      <c r="AL16" s="39" t="s">
        <v>203</v>
      </c>
      <c r="AM16" s="39" t="s">
        <v>203</v>
      </c>
      <c r="AN16" s="24" t="s">
        <v>205</v>
      </c>
      <c r="AO16" s="24" t="s">
        <v>86</v>
      </c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40">
        <f>'Design Table Calc1'!CK16</f>
        <v>0</v>
      </c>
    </row>
    <row r="17" spans="1:55">
      <c r="A17" s="39" t="s">
        <v>54</v>
      </c>
      <c r="B17" s="23" t="s">
        <v>179</v>
      </c>
      <c r="C17" s="23" t="s">
        <v>80</v>
      </c>
      <c r="D17" s="23">
        <v>16777215</v>
      </c>
      <c r="E17" s="24" t="s">
        <v>87</v>
      </c>
      <c r="F17" s="24" t="s">
        <v>141</v>
      </c>
      <c r="G17" s="24" t="s">
        <v>83</v>
      </c>
      <c r="H17" s="23" t="str">
        <f t="shared" ref="H17:H26" si="0">"="&amp;INDEX(PkgInstanceValues,1,MATCH(MID(H$2,1+LEN("$VALUE@"),LEN(H$2)-LEN("$Value@@Equations")),PkgInstanceHdr,0))&amp;"mm"</f>
        <v>=0.25mm</v>
      </c>
      <c r="I17" s="24" t="s">
        <v>142</v>
      </c>
      <c r="J17" s="24" t="s">
        <v>143</v>
      </c>
      <c r="K17" s="24" t="s">
        <v>83</v>
      </c>
      <c r="L17" s="24" t="s">
        <v>104</v>
      </c>
      <c r="M17" s="24" t="s">
        <v>86</v>
      </c>
      <c r="N17" s="24" t="s">
        <v>87</v>
      </c>
      <c r="O17" s="24" t="s">
        <v>144</v>
      </c>
      <c r="P17" s="23" t="s">
        <v>13</v>
      </c>
      <c r="Q17" s="23"/>
      <c r="R17" s="25" t="s">
        <v>180</v>
      </c>
      <c r="S17" s="39" t="s">
        <v>17</v>
      </c>
      <c r="T17" s="39" t="s">
        <v>17</v>
      </c>
      <c r="U17" s="39" t="s">
        <v>90</v>
      </c>
      <c r="V17" s="39" t="s">
        <v>17</v>
      </c>
      <c r="W17" s="39" t="s">
        <v>90</v>
      </c>
      <c r="X17" s="39" t="s">
        <v>17</v>
      </c>
      <c r="Y17" s="39" t="s">
        <v>90</v>
      </c>
      <c r="Z17" s="39" t="s">
        <v>17</v>
      </c>
      <c r="AA17" s="39" t="s">
        <v>90</v>
      </c>
      <c r="AB17" s="39" t="s">
        <v>17</v>
      </c>
      <c r="AC17" s="39" t="s">
        <v>90</v>
      </c>
      <c r="AD17" s="39" t="s">
        <v>90</v>
      </c>
      <c r="AE17" s="39" t="s">
        <v>90</v>
      </c>
      <c r="AF17" s="39" t="s">
        <v>17</v>
      </c>
      <c r="AG17" s="24" t="s">
        <v>53</v>
      </c>
      <c r="AH17" s="24" t="s">
        <v>53</v>
      </c>
      <c r="AI17" s="24" t="s">
        <v>181</v>
      </c>
      <c r="AJ17" s="24" t="s">
        <v>77</v>
      </c>
      <c r="AK17" s="39" t="s">
        <v>17</v>
      </c>
      <c r="AL17" s="39" t="s">
        <v>17</v>
      </c>
      <c r="AM17" s="39" t="s">
        <v>17</v>
      </c>
      <c r="AN17" s="24" t="s">
        <v>205</v>
      </c>
      <c r="AO17" s="24" t="s">
        <v>206</v>
      </c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40">
        <f>'Design Table Calc1'!CK17</f>
        <v>0</v>
      </c>
    </row>
    <row r="18" spans="1:55">
      <c r="A18" s="39" t="s">
        <v>182</v>
      </c>
      <c r="B18" s="23" t="s">
        <v>183</v>
      </c>
      <c r="C18" s="23" t="s">
        <v>93</v>
      </c>
      <c r="D18" s="23">
        <v>16777215</v>
      </c>
      <c r="E18" s="24" t="s">
        <v>87</v>
      </c>
      <c r="F18" s="24" t="s">
        <v>141</v>
      </c>
      <c r="G18" s="24" t="s">
        <v>184</v>
      </c>
      <c r="H18" s="23" t="str">
        <f t="shared" si="0"/>
        <v>=0.25mm</v>
      </c>
      <c r="I18" s="24" t="s">
        <v>142</v>
      </c>
      <c r="J18" s="24" t="s">
        <v>143</v>
      </c>
      <c r="K18" s="24" t="s">
        <v>83</v>
      </c>
      <c r="L18" s="24" t="s">
        <v>104</v>
      </c>
      <c r="M18" s="24" t="s">
        <v>86</v>
      </c>
      <c r="N18" s="24" t="s">
        <v>87</v>
      </c>
      <c r="O18" s="24" t="s">
        <v>144</v>
      </c>
      <c r="P18" s="23" t="s">
        <v>13</v>
      </c>
      <c r="Q18" s="23" t="s">
        <v>54</v>
      </c>
      <c r="R18" s="23" t="s">
        <v>180</v>
      </c>
      <c r="S18" s="39" t="s">
        <v>203</v>
      </c>
      <c r="T18" s="39" t="s">
        <v>203</v>
      </c>
      <c r="U18" s="39" t="s">
        <v>203</v>
      </c>
      <c r="V18" s="39" t="s">
        <v>203</v>
      </c>
      <c r="W18" s="39" t="s">
        <v>203</v>
      </c>
      <c r="X18" s="39" t="s">
        <v>203</v>
      </c>
      <c r="Y18" s="39" t="s">
        <v>203</v>
      </c>
      <c r="Z18" s="39" t="s">
        <v>203</v>
      </c>
      <c r="AA18" s="39" t="s">
        <v>203</v>
      </c>
      <c r="AB18" s="39" t="s">
        <v>203</v>
      </c>
      <c r="AC18" s="39" t="s">
        <v>203</v>
      </c>
      <c r="AD18" s="39" t="s">
        <v>203</v>
      </c>
      <c r="AE18" s="39" t="s">
        <v>203</v>
      </c>
      <c r="AF18" s="39" t="s">
        <v>203</v>
      </c>
      <c r="AG18" s="24" t="s">
        <v>53</v>
      </c>
      <c r="AH18" s="24" t="s">
        <v>53</v>
      </c>
      <c r="AI18" s="24" t="s">
        <v>181</v>
      </c>
      <c r="AJ18" s="24" t="s">
        <v>77</v>
      </c>
      <c r="AK18" s="39" t="s">
        <v>203</v>
      </c>
      <c r="AL18" s="39" t="s">
        <v>203</v>
      </c>
      <c r="AM18" s="39" t="s">
        <v>203</v>
      </c>
      <c r="AN18" s="24" t="s">
        <v>205</v>
      </c>
      <c r="AO18" s="24" t="s">
        <v>206</v>
      </c>
      <c r="AP18" s="24"/>
      <c r="AQ18" s="24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40">
        <f>'Design Table Calc1'!CK18</f>
        <v>0</v>
      </c>
    </row>
    <row r="19" spans="1:55">
      <c r="A19" s="39" t="s">
        <v>185</v>
      </c>
      <c r="B19" s="23" t="s">
        <v>186</v>
      </c>
      <c r="C19" s="23" t="s">
        <v>93</v>
      </c>
      <c r="D19" s="23">
        <v>16777215</v>
      </c>
      <c r="E19" s="24" t="s">
        <v>87</v>
      </c>
      <c r="F19" s="24" t="s">
        <v>141</v>
      </c>
      <c r="G19" s="24" t="s">
        <v>147</v>
      </c>
      <c r="H19" s="23" t="str">
        <f t="shared" si="0"/>
        <v>=0.25mm</v>
      </c>
      <c r="I19" s="24" t="s">
        <v>142</v>
      </c>
      <c r="J19" s="24" t="s">
        <v>143</v>
      </c>
      <c r="K19" s="24" t="s">
        <v>83</v>
      </c>
      <c r="L19" s="24" t="s">
        <v>104</v>
      </c>
      <c r="M19" s="24" t="s">
        <v>86</v>
      </c>
      <c r="N19" s="24" t="s">
        <v>87</v>
      </c>
      <c r="O19" s="24" t="s">
        <v>144</v>
      </c>
      <c r="P19" s="23" t="s">
        <v>13</v>
      </c>
      <c r="Q19" s="23" t="s">
        <v>54</v>
      </c>
      <c r="R19" s="23" t="s">
        <v>180</v>
      </c>
      <c r="S19" s="39" t="s">
        <v>203</v>
      </c>
      <c r="T19" s="39" t="s">
        <v>203</v>
      </c>
      <c r="U19" s="39" t="s">
        <v>203</v>
      </c>
      <c r="V19" s="39" t="s">
        <v>203</v>
      </c>
      <c r="W19" s="39" t="s">
        <v>203</v>
      </c>
      <c r="X19" s="39" t="s">
        <v>203</v>
      </c>
      <c r="Y19" s="39" t="s">
        <v>203</v>
      </c>
      <c r="Z19" s="39" t="s">
        <v>203</v>
      </c>
      <c r="AA19" s="39" t="s">
        <v>203</v>
      </c>
      <c r="AB19" s="39" t="s">
        <v>203</v>
      </c>
      <c r="AC19" s="39" t="s">
        <v>203</v>
      </c>
      <c r="AD19" s="39" t="s">
        <v>203</v>
      </c>
      <c r="AE19" s="39" t="s">
        <v>203</v>
      </c>
      <c r="AF19" s="39" t="s">
        <v>203</v>
      </c>
      <c r="AG19" s="24" t="s">
        <v>53</v>
      </c>
      <c r="AH19" s="24" t="s">
        <v>53</v>
      </c>
      <c r="AI19" s="24" t="s">
        <v>181</v>
      </c>
      <c r="AJ19" s="24" t="s">
        <v>77</v>
      </c>
      <c r="AK19" s="39" t="s">
        <v>203</v>
      </c>
      <c r="AL19" s="39" t="s">
        <v>203</v>
      </c>
      <c r="AM19" s="39" t="s">
        <v>203</v>
      </c>
      <c r="AN19" s="24" t="s">
        <v>205</v>
      </c>
      <c r="AO19" s="24" t="s">
        <v>206</v>
      </c>
      <c r="AP19" s="24"/>
      <c r="AQ19" s="24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40">
        <f>'Design Table Calc1'!CK19</f>
        <v>0</v>
      </c>
    </row>
    <row r="20" spans="1:55">
      <c r="A20" s="39" t="s">
        <v>187</v>
      </c>
      <c r="B20" s="23" t="s">
        <v>188</v>
      </c>
      <c r="C20" s="23" t="s">
        <v>93</v>
      </c>
      <c r="D20" s="23">
        <v>16777215</v>
      </c>
      <c r="E20" s="24" t="s">
        <v>87</v>
      </c>
      <c r="F20" s="24" t="s">
        <v>141</v>
      </c>
      <c r="G20" s="24" t="s">
        <v>189</v>
      </c>
      <c r="H20" s="23" t="str">
        <f t="shared" si="0"/>
        <v>=0.25mm</v>
      </c>
      <c r="I20" s="24" t="s">
        <v>142</v>
      </c>
      <c r="J20" s="24" t="s">
        <v>143</v>
      </c>
      <c r="K20" s="24" t="s">
        <v>83</v>
      </c>
      <c r="L20" s="24" t="s">
        <v>104</v>
      </c>
      <c r="M20" s="24" t="s">
        <v>86</v>
      </c>
      <c r="N20" s="24" t="s">
        <v>87</v>
      </c>
      <c r="O20" s="24" t="s">
        <v>144</v>
      </c>
      <c r="P20" s="23" t="s">
        <v>13</v>
      </c>
      <c r="Q20" s="23" t="s">
        <v>54</v>
      </c>
      <c r="R20" s="23" t="s">
        <v>180</v>
      </c>
      <c r="S20" s="39" t="s">
        <v>203</v>
      </c>
      <c r="T20" s="39" t="s">
        <v>203</v>
      </c>
      <c r="U20" s="39" t="s">
        <v>203</v>
      </c>
      <c r="V20" s="39" t="s">
        <v>203</v>
      </c>
      <c r="W20" s="39" t="s">
        <v>203</v>
      </c>
      <c r="X20" s="39" t="s">
        <v>203</v>
      </c>
      <c r="Y20" s="39" t="s">
        <v>203</v>
      </c>
      <c r="Z20" s="39" t="s">
        <v>203</v>
      </c>
      <c r="AA20" s="39" t="s">
        <v>203</v>
      </c>
      <c r="AB20" s="39" t="s">
        <v>203</v>
      </c>
      <c r="AC20" s="39" t="s">
        <v>203</v>
      </c>
      <c r="AD20" s="39" t="s">
        <v>203</v>
      </c>
      <c r="AE20" s="39" t="s">
        <v>203</v>
      </c>
      <c r="AF20" s="39"/>
      <c r="AG20" s="24" t="s">
        <v>53</v>
      </c>
      <c r="AH20" s="24" t="s">
        <v>53</v>
      </c>
      <c r="AI20" s="24" t="s">
        <v>181</v>
      </c>
      <c r="AJ20" s="24" t="s">
        <v>77</v>
      </c>
      <c r="AK20" s="39" t="s">
        <v>203</v>
      </c>
      <c r="AL20" s="39" t="s">
        <v>203</v>
      </c>
      <c r="AM20" s="39" t="s">
        <v>203</v>
      </c>
      <c r="AN20" s="24" t="s">
        <v>205</v>
      </c>
      <c r="AO20" s="24" t="s">
        <v>206</v>
      </c>
      <c r="AP20" s="24"/>
      <c r="AQ20" s="24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40">
        <f>'Design Table Calc1'!CK20</f>
        <v>0</v>
      </c>
    </row>
    <row r="21" spans="1:55">
      <c r="A21" s="39" t="s">
        <v>190</v>
      </c>
      <c r="B21" s="23" t="s">
        <v>191</v>
      </c>
      <c r="C21" s="23" t="s">
        <v>93</v>
      </c>
      <c r="D21" s="23">
        <v>16777215</v>
      </c>
      <c r="E21" s="24" t="s">
        <v>87</v>
      </c>
      <c r="F21" s="24" t="s">
        <v>141</v>
      </c>
      <c r="G21" s="24" t="s">
        <v>150</v>
      </c>
      <c r="H21" s="23" t="str">
        <f t="shared" si="0"/>
        <v>=0.25mm</v>
      </c>
      <c r="I21" s="24" t="s">
        <v>142</v>
      </c>
      <c r="J21" s="24" t="s">
        <v>143</v>
      </c>
      <c r="K21" s="24" t="s">
        <v>83</v>
      </c>
      <c r="L21" s="24" t="s">
        <v>104</v>
      </c>
      <c r="M21" s="24" t="s">
        <v>86</v>
      </c>
      <c r="N21" s="24" t="s">
        <v>87</v>
      </c>
      <c r="O21" s="24" t="s">
        <v>144</v>
      </c>
      <c r="P21" s="23" t="s">
        <v>13</v>
      </c>
      <c r="Q21" s="23" t="s">
        <v>54</v>
      </c>
      <c r="R21" s="23" t="s">
        <v>180</v>
      </c>
      <c r="S21" s="39" t="s">
        <v>203</v>
      </c>
      <c r="T21" s="39" t="s">
        <v>203</v>
      </c>
      <c r="U21" s="39" t="s">
        <v>203</v>
      </c>
      <c r="V21" s="39" t="s">
        <v>203</v>
      </c>
      <c r="W21" s="39" t="s">
        <v>203</v>
      </c>
      <c r="X21" s="39" t="s">
        <v>203</v>
      </c>
      <c r="Y21" s="39" t="s">
        <v>203</v>
      </c>
      <c r="Z21" s="39" t="s">
        <v>203</v>
      </c>
      <c r="AA21" s="39" t="s">
        <v>203</v>
      </c>
      <c r="AB21" s="39" t="s">
        <v>203</v>
      </c>
      <c r="AC21" s="39" t="s">
        <v>203</v>
      </c>
      <c r="AD21" s="39" t="s">
        <v>203</v>
      </c>
      <c r="AE21" s="39" t="s">
        <v>203</v>
      </c>
      <c r="AF21" s="39"/>
      <c r="AG21" s="24" t="s">
        <v>53</v>
      </c>
      <c r="AH21" s="24" t="s">
        <v>53</v>
      </c>
      <c r="AI21" s="24" t="s">
        <v>181</v>
      </c>
      <c r="AJ21" s="24" t="s">
        <v>77</v>
      </c>
      <c r="AK21" s="39" t="s">
        <v>203</v>
      </c>
      <c r="AL21" s="39" t="s">
        <v>203</v>
      </c>
      <c r="AM21" s="39" t="s">
        <v>203</v>
      </c>
      <c r="AN21" s="24" t="s">
        <v>205</v>
      </c>
      <c r="AO21" s="24" t="s">
        <v>206</v>
      </c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40">
        <f>'Design Table Calc1'!CK21</f>
        <v>0</v>
      </c>
    </row>
    <row r="22" spans="1:55">
      <c r="A22" s="1" t="s">
        <v>151</v>
      </c>
      <c r="B22" s="2" t="s">
        <v>140</v>
      </c>
      <c r="C22" s="2" t="s">
        <v>93</v>
      </c>
      <c r="D22" s="2">
        <v>16777215</v>
      </c>
      <c r="E22" s="46" t="s">
        <v>87</v>
      </c>
      <c r="F22" s="46" t="s">
        <v>141</v>
      </c>
      <c r="G22" s="46" t="s">
        <v>83</v>
      </c>
      <c r="H22" s="23" t="str">
        <f t="shared" si="0"/>
        <v>=0.25mm</v>
      </c>
      <c r="I22" s="46" t="s">
        <v>142</v>
      </c>
      <c r="J22" s="46" t="s">
        <v>143</v>
      </c>
      <c r="K22" s="46" t="s">
        <v>83</v>
      </c>
      <c r="L22" s="46" t="s">
        <v>104</v>
      </c>
      <c r="M22" s="46" t="s">
        <v>86</v>
      </c>
      <c r="N22" s="46" t="s">
        <v>87</v>
      </c>
      <c r="O22" s="46" t="s">
        <v>88</v>
      </c>
      <c r="P22" s="2" t="s">
        <v>13</v>
      </c>
      <c r="Q22" s="2" t="s">
        <v>54</v>
      </c>
      <c r="R22" s="2" t="s">
        <v>89</v>
      </c>
      <c r="S22" s="39" t="s">
        <v>203</v>
      </c>
      <c r="T22" s="39" t="s">
        <v>203</v>
      </c>
      <c r="U22" s="39" t="s">
        <v>203</v>
      </c>
      <c r="V22" s="39" t="s">
        <v>203</v>
      </c>
      <c r="W22" s="39" t="s">
        <v>203</v>
      </c>
      <c r="X22" s="39" t="s">
        <v>203</v>
      </c>
      <c r="Y22" s="39" t="s">
        <v>203</v>
      </c>
      <c r="Z22" s="39" t="s">
        <v>203</v>
      </c>
      <c r="AA22" s="39" t="s">
        <v>203</v>
      </c>
      <c r="AB22" s="39" t="s">
        <v>203</v>
      </c>
      <c r="AC22" s="39" t="s">
        <v>203</v>
      </c>
      <c r="AD22" s="39" t="s">
        <v>203</v>
      </c>
      <c r="AE22" s="39" t="s">
        <v>203</v>
      </c>
      <c r="AG22" s="46" t="s">
        <v>53</v>
      </c>
      <c r="AH22" s="46" t="s">
        <v>53</v>
      </c>
      <c r="AI22" s="46" t="s">
        <v>181</v>
      </c>
      <c r="AJ22" s="46" t="s">
        <v>77</v>
      </c>
      <c r="AK22" s="39" t="s">
        <v>203</v>
      </c>
      <c r="AL22" s="39" t="s">
        <v>203</v>
      </c>
      <c r="AM22" s="39" t="s">
        <v>203</v>
      </c>
      <c r="AN22" s="46" t="s">
        <v>205</v>
      </c>
      <c r="AO22" s="46" t="s">
        <v>206</v>
      </c>
      <c r="BC22" s="40">
        <f>'Design Table Calc1'!CK22</f>
        <v>0</v>
      </c>
    </row>
    <row r="23" spans="1:55">
      <c r="A23" s="1" t="s">
        <v>192</v>
      </c>
      <c r="B23" s="2" t="s">
        <v>193</v>
      </c>
      <c r="C23" s="2" t="s">
        <v>93</v>
      </c>
      <c r="D23" s="2">
        <v>16777215</v>
      </c>
      <c r="E23" s="46" t="s">
        <v>87</v>
      </c>
      <c r="F23" s="46" t="s">
        <v>141</v>
      </c>
      <c r="G23" s="46" t="s">
        <v>184</v>
      </c>
      <c r="H23" s="23" t="str">
        <f t="shared" si="0"/>
        <v>=0.25mm</v>
      </c>
      <c r="I23" s="46" t="s">
        <v>142</v>
      </c>
      <c r="J23" s="46" t="s">
        <v>143</v>
      </c>
      <c r="K23" s="46" t="s">
        <v>83</v>
      </c>
      <c r="L23" s="46" t="s">
        <v>104</v>
      </c>
      <c r="M23" s="46" t="s">
        <v>86</v>
      </c>
      <c r="N23" s="46" t="s">
        <v>87</v>
      </c>
      <c r="O23" s="46" t="s">
        <v>88</v>
      </c>
      <c r="P23" s="2" t="s">
        <v>13</v>
      </c>
      <c r="Q23" s="2" t="s">
        <v>54</v>
      </c>
      <c r="R23" s="2" t="s">
        <v>89</v>
      </c>
      <c r="S23" s="39" t="s">
        <v>203</v>
      </c>
      <c r="T23" s="39" t="s">
        <v>203</v>
      </c>
      <c r="U23" s="39" t="s">
        <v>203</v>
      </c>
      <c r="V23" s="39" t="s">
        <v>203</v>
      </c>
      <c r="W23" s="39" t="s">
        <v>203</v>
      </c>
      <c r="X23" s="39" t="s">
        <v>203</v>
      </c>
      <c r="Y23" s="39" t="s">
        <v>203</v>
      </c>
      <c r="Z23" s="39" t="s">
        <v>203</v>
      </c>
      <c r="AA23" s="39" t="s">
        <v>203</v>
      </c>
      <c r="AB23" s="39" t="s">
        <v>203</v>
      </c>
      <c r="AC23" s="39" t="s">
        <v>203</v>
      </c>
      <c r="AD23" s="39" t="s">
        <v>203</v>
      </c>
      <c r="AE23" s="39" t="s">
        <v>203</v>
      </c>
      <c r="AF23" s="1" t="s">
        <v>203</v>
      </c>
      <c r="AG23" s="46" t="s">
        <v>53</v>
      </c>
      <c r="AH23" s="46" t="s">
        <v>53</v>
      </c>
      <c r="AI23" s="46" t="s">
        <v>181</v>
      </c>
      <c r="AJ23" s="46" t="s">
        <v>77</v>
      </c>
      <c r="AK23" s="39" t="s">
        <v>203</v>
      </c>
      <c r="AL23" s="39" t="s">
        <v>203</v>
      </c>
      <c r="AM23" s="39" t="s">
        <v>203</v>
      </c>
      <c r="AN23" s="46" t="s">
        <v>205</v>
      </c>
      <c r="AO23" s="46" t="s">
        <v>206</v>
      </c>
      <c r="BC23" s="40">
        <f>'Design Table Calc1'!CK23</f>
        <v>0</v>
      </c>
    </row>
    <row r="24" spans="1:55">
      <c r="A24" s="1" t="s">
        <v>145</v>
      </c>
      <c r="B24" s="2" t="s">
        <v>146</v>
      </c>
      <c r="C24" s="2" t="s">
        <v>93</v>
      </c>
      <c r="D24" s="2">
        <v>16777215</v>
      </c>
      <c r="E24" s="46" t="s">
        <v>87</v>
      </c>
      <c r="F24" s="46" t="s">
        <v>141</v>
      </c>
      <c r="G24" s="46" t="s">
        <v>147</v>
      </c>
      <c r="H24" s="23" t="str">
        <f t="shared" si="0"/>
        <v>=0.25mm</v>
      </c>
      <c r="I24" s="46" t="s">
        <v>142</v>
      </c>
      <c r="J24" s="46" t="s">
        <v>143</v>
      </c>
      <c r="K24" s="46" t="s">
        <v>83</v>
      </c>
      <c r="L24" s="46" t="s">
        <v>104</v>
      </c>
      <c r="M24" s="46" t="s">
        <v>86</v>
      </c>
      <c r="N24" s="46" t="s">
        <v>87</v>
      </c>
      <c r="O24" s="46" t="s">
        <v>88</v>
      </c>
      <c r="P24" s="2" t="s">
        <v>13</v>
      </c>
      <c r="Q24" s="2" t="s">
        <v>54</v>
      </c>
      <c r="R24" s="2" t="s">
        <v>89</v>
      </c>
      <c r="S24" s="39" t="s">
        <v>203</v>
      </c>
      <c r="T24" s="39" t="s">
        <v>203</v>
      </c>
      <c r="U24" s="39" t="s">
        <v>203</v>
      </c>
      <c r="V24" s="39" t="s">
        <v>203</v>
      </c>
      <c r="W24" s="39" t="s">
        <v>203</v>
      </c>
      <c r="X24" s="39" t="s">
        <v>203</v>
      </c>
      <c r="Y24" s="39" t="s">
        <v>203</v>
      </c>
      <c r="Z24" s="39" t="s">
        <v>203</v>
      </c>
      <c r="AA24" s="39" t="s">
        <v>203</v>
      </c>
      <c r="AB24" s="39" t="s">
        <v>203</v>
      </c>
      <c r="AC24" s="39" t="s">
        <v>203</v>
      </c>
      <c r="AD24" s="39" t="s">
        <v>203</v>
      </c>
      <c r="AE24" s="39" t="s">
        <v>203</v>
      </c>
      <c r="AF24" s="1" t="s">
        <v>203</v>
      </c>
      <c r="AG24" s="46" t="s">
        <v>53</v>
      </c>
      <c r="AH24" s="46" t="s">
        <v>53</v>
      </c>
      <c r="AI24" s="46" t="s">
        <v>181</v>
      </c>
      <c r="AJ24" s="46" t="s">
        <v>77</v>
      </c>
      <c r="AK24" s="39" t="s">
        <v>203</v>
      </c>
      <c r="AL24" s="39" t="s">
        <v>203</v>
      </c>
      <c r="AM24" s="39" t="s">
        <v>203</v>
      </c>
      <c r="AN24" s="46" t="s">
        <v>205</v>
      </c>
      <c r="AO24" s="46" t="s">
        <v>206</v>
      </c>
      <c r="BC24" s="40">
        <f>'Design Table Calc1'!CK24</f>
        <v>0</v>
      </c>
    </row>
    <row r="25" spans="1:55">
      <c r="A25" s="1" t="s">
        <v>194</v>
      </c>
      <c r="B25" s="2" t="s">
        <v>195</v>
      </c>
      <c r="C25" s="2" t="s">
        <v>93</v>
      </c>
      <c r="D25" s="2">
        <v>16777215</v>
      </c>
      <c r="E25" s="46" t="s">
        <v>87</v>
      </c>
      <c r="F25" s="46" t="s">
        <v>141</v>
      </c>
      <c r="G25" s="46" t="s">
        <v>189</v>
      </c>
      <c r="H25" s="23" t="str">
        <f t="shared" si="0"/>
        <v>=0.25mm</v>
      </c>
      <c r="I25" s="46" t="s">
        <v>142</v>
      </c>
      <c r="J25" s="46" t="s">
        <v>143</v>
      </c>
      <c r="K25" s="46" t="s">
        <v>83</v>
      </c>
      <c r="L25" s="46" t="s">
        <v>104</v>
      </c>
      <c r="M25" s="46" t="s">
        <v>86</v>
      </c>
      <c r="N25" s="46" t="s">
        <v>87</v>
      </c>
      <c r="O25" s="46" t="s">
        <v>88</v>
      </c>
      <c r="P25" s="2" t="s">
        <v>13</v>
      </c>
      <c r="Q25" s="2" t="s">
        <v>54</v>
      </c>
      <c r="R25" s="2" t="s">
        <v>89</v>
      </c>
      <c r="S25" s="39" t="s">
        <v>203</v>
      </c>
      <c r="T25" s="39" t="s">
        <v>203</v>
      </c>
      <c r="U25" s="39" t="s">
        <v>203</v>
      </c>
      <c r="V25" s="39" t="s">
        <v>203</v>
      </c>
      <c r="W25" s="39" t="s">
        <v>203</v>
      </c>
      <c r="X25" s="39" t="s">
        <v>203</v>
      </c>
      <c r="Y25" s="39" t="s">
        <v>203</v>
      </c>
      <c r="Z25" s="39" t="s">
        <v>203</v>
      </c>
      <c r="AA25" s="39" t="s">
        <v>203</v>
      </c>
      <c r="AB25" s="39" t="s">
        <v>203</v>
      </c>
      <c r="AC25" s="39" t="s">
        <v>203</v>
      </c>
      <c r="AD25" s="39" t="s">
        <v>203</v>
      </c>
      <c r="AE25" s="39" t="s">
        <v>203</v>
      </c>
      <c r="AF25" s="1" t="s">
        <v>203</v>
      </c>
      <c r="AG25" s="46" t="s">
        <v>53</v>
      </c>
      <c r="AH25" s="46" t="s">
        <v>53</v>
      </c>
      <c r="AI25" s="46" t="s">
        <v>181</v>
      </c>
      <c r="AJ25" s="46" t="s">
        <v>77</v>
      </c>
      <c r="AK25" s="39" t="s">
        <v>203</v>
      </c>
      <c r="AL25" s="39" t="s">
        <v>203</v>
      </c>
      <c r="AM25" s="39" t="s">
        <v>203</v>
      </c>
      <c r="AN25" s="46" t="s">
        <v>205</v>
      </c>
      <c r="AO25" s="46" t="s">
        <v>206</v>
      </c>
      <c r="BC25" s="40">
        <f>'Design Table Calc1'!CK25</f>
        <v>0</v>
      </c>
    </row>
    <row r="26" spans="1:55">
      <c r="A26" s="1" t="s">
        <v>148</v>
      </c>
      <c r="B26" s="2" t="s">
        <v>149</v>
      </c>
      <c r="C26" s="2" t="s">
        <v>93</v>
      </c>
      <c r="D26" s="2">
        <v>16777215</v>
      </c>
      <c r="E26" s="46" t="s">
        <v>87</v>
      </c>
      <c r="F26" s="46" t="s">
        <v>141</v>
      </c>
      <c r="G26" s="46" t="s">
        <v>150</v>
      </c>
      <c r="H26" s="23" t="str">
        <f t="shared" si="0"/>
        <v>=0.25mm</v>
      </c>
      <c r="I26" s="46" t="s">
        <v>142</v>
      </c>
      <c r="J26" s="46" t="s">
        <v>143</v>
      </c>
      <c r="K26" s="46" t="s">
        <v>83</v>
      </c>
      <c r="L26" s="46" t="s">
        <v>104</v>
      </c>
      <c r="M26" s="46" t="s">
        <v>86</v>
      </c>
      <c r="N26" s="46" t="s">
        <v>87</v>
      </c>
      <c r="O26" s="46" t="s">
        <v>88</v>
      </c>
      <c r="P26" s="2" t="s">
        <v>13</v>
      </c>
      <c r="Q26" s="2" t="s">
        <v>54</v>
      </c>
      <c r="R26" s="2" t="s">
        <v>89</v>
      </c>
      <c r="S26" s="39" t="s">
        <v>203</v>
      </c>
      <c r="T26" s="39" t="s">
        <v>203</v>
      </c>
      <c r="U26" s="39" t="s">
        <v>203</v>
      </c>
      <c r="V26" s="39" t="s">
        <v>203</v>
      </c>
      <c r="W26" s="39" t="s">
        <v>203</v>
      </c>
      <c r="X26" s="39" t="s">
        <v>203</v>
      </c>
      <c r="Y26" s="39" t="s">
        <v>203</v>
      </c>
      <c r="Z26" s="39" t="s">
        <v>203</v>
      </c>
      <c r="AA26" s="39" t="s">
        <v>203</v>
      </c>
      <c r="AB26" s="39" t="s">
        <v>203</v>
      </c>
      <c r="AC26" s="39" t="s">
        <v>203</v>
      </c>
      <c r="AD26" s="39" t="s">
        <v>203</v>
      </c>
      <c r="AE26" s="39" t="s">
        <v>203</v>
      </c>
      <c r="AF26" s="1" t="s">
        <v>203</v>
      </c>
      <c r="AG26" s="46" t="s">
        <v>53</v>
      </c>
      <c r="AH26" s="46" t="s">
        <v>53</v>
      </c>
      <c r="AI26" s="46" t="s">
        <v>181</v>
      </c>
      <c r="AJ26" s="46" t="s">
        <v>77</v>
      </c>
      <c r="AK26" s="39" t="s">
        <v>203</v>
      </c>
      <c r="AL26" s="39" t="s">
        <v>203</v>
      </c>
      <c r="AM26" s="39" t="s">
        <v>203</v>
      </c>
      <c r="AN26" s="46" t="s">
        <v>205</v>
      </c>
      <c r="AO26" s="46" t="s">
        <v>206</v>
      </c>
      <c r="BC26" s="40">
        <f>'Design Table Calc1'!CK26</f>
        <v>0</v>
      </c>
    </row>
  </sheetData>
  <conditionalFormatting sqref="A1:BB103">
    <cfRule type="expression" dxfId="30" priority="39">
      <formula>($BC1=COLUMN(A$1))</formula>
    </cfRule>
  </conditionalFormatting>
  <conditionalFormatting sqref="H17:H26">
    <cfRule type="expression" dxfId="5" priority="1">
      <formula>$CB17&lt;$CH17</formula>
    </cfRule>
    <cfRule type="expression" dxfId="4" priority="2">
      <formula>$AY17</formula>
    </cfRule>
    <cfRule type="expression" dxfId="3" priority="3">
      <formula>$CC17&gt;$CH17</formula>
    </cfRule>
  </conditionalFormatting>
  <dataValidations count="21">
    <dataValidation allowBlank="1" showInputMessage="1" promptTitle="$DESCRIPTION" prompt="Enter the description" sqref="B3:B20 H17:H26"/>
    <dataValidation type="list" allowBlank="1" showInputMessage="1" promptTitle="$PARTNUMBER" prompt="Enter the part number." sqref="C3:C20">
      <formula1>"$DOCUMENT,$CONFIGURATION,$PARENT,$D,$C,$P"</formula1>
    </dataValidation>
    <dataValidation type="list" allowBlank="1" showInputMessage="1" promptTitle="$PARENT" prompt="Select the configuration name." sqref="Q3:Q20">
      <formula1>_SWX_0</formula1>
    </dataValidation>
    <dataValidation allowBlank="1" showInputMessage="1" promptTitle="$COMMENT" prompt="Enter the comment." sqref="R3:R20"/>
    <dataValidation type="list" allowBlank="1" showInputMessage="1" showErrorMessage="1" errorTitle="SOLIDWORKS Error:" error="The value you have entered is invalid.  Please enter a valid value before continuing." promptTitle="$STATE@Internal H1" prompt="Select to suppress or unsuppress the feature_x000a_Possible Options:_x000a_Suppressed_x000a_Unsuppressed_x000a_S = Suppressed_x000a_U = Unsuppressed_x000a_1 = Suppressed_x000a_0 = Unsuppressed" sqref="S3:S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Internal H2" prompt="Select to suppress or unsuppress the feature_x000a_Possible Options:_x000a_Suppressed_x000a_Unsuppressed_x000a_S = Suppressed_x000a_U = Unsuppressed_x000a_1 = Suppressed_x000a_0 = Unsuppressed" sqref="T3:T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Text C1.0 S0.7" prompt="Select to suppress or unsuppress the feature_x000a_Possible Options:_x000a_Suppressed_x000a_Unsuppressed_x000a_S = Suppressed_x000a_U = Unsuppressed_x000a_1 = Suppressed_x000a_0 = Unsuppressed" sqref="U3:U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TSketch C1.0 S0.7" prompt="Select to suppress or unsuppress the feature_x000a_Possible Options:_x000a_Suppressed_x000a_Unsuppressed_x000a_S = Suppressed_x000a_U = Unsuppressed_x000a_1 = Suppressed_x000a_0 = Unsuppressed" sqref="V3:V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Text L2.0 S0.7" prompt="Select to suppress or unsuppress the feature_x000a_Possible Options:_x000a_Suppressed_x000a_Unsuppressed_x000a_S = Suppressed_x000a_U = Unsuppressed_x000a_1 = Suppressed_x000a_0 = Unsuppressed" sqref="W3:W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TSketch L2.0 S0.7" prompt="Select to suppress or unsuppress the feature_x000a_Possible Options:_x000a_Suppressed_x000a_Unsuppressed_x000a_S = Suppressed_x000a_U = Unsuppressed_x000a_1 = Suppressed_x000a_0 = Unsuppressed" sqref="X3:X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Text L1.2 S0.6" prompt="Select to suppress or unsuppress the feature_x000a_Possible Options:_x000a_Suppressed_x000a_Unsuppressed_x000a_S = Suppressed_x000a_U = Unsuppressed_x000a_1 = Suppressed_x000a_0 = Unsuppressed" sqref="Y3:Y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TSketch L1.2 S0.6" prompt="Select to suppress or unsuppress the feature_x000a_Possible Options:_x000a_Suppressed_x000a_Unsuppressed_x000a_S = Suppressed_x000a_U = Unsuppressed_x000a_1 = Suppressed_x000a_0 = Unsuppressed" sqref="Z3:Z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Text C1.3 S0.2" prompt="Select to suppress or unsuppress the feature_x000a_Possible Options:_x000a_Suppressed_x000a_Unsuppressed_x000a_S = Suppressed_x000a_U = Unsuppressed_x000a_1 = Suppressed_x000a_0 = Unsuppressed" sqref="AA3:AA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TSketch C1.3 S0.2" prompt="Select to suppress or unsuppress the feature_x000a_Possible Options:_x000a_Suppressed_x000a_Unsuppressed_x000a_S = Suppressed_x000a_U = Unsuppressed_x000a_1 = Suppressed_x000a_0 = Unsuppressed" sqref="AB3:AB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Wrap2" prompt="Select to suppress or unsuppress the feature_x000a_Possible Options:_x000a_Suppressed_x000a_Unsuppressed_x000a_S = Suppressed_x000a_U = Unsuppressed_x000a_1 = Suppressed_x000a_0 = Unsuppressed" sqref="AC3:AC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Surface-Offset1" prompt="Select to suppress or unsuppress the feature_x000a_Possible Options:_x000a_Suppressed_x000a_Unsuppressed_x000a_S = Suppressed_x000a_U = Unsuppressed_x000a_1 = Suppressed_x000a_0 = Unsuppressed" sqref="AD3:AD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Thicken1" prompt="Select to suppress or unsuppress the feature_x000a_Possible Options:_x000a_Suppressed_x000a_Unsuppressed_x000a_S = Suppressed_x000a_U = Unsuppressed_x000a_1 = Suppressed_x000a_0 = Unsuppressed" sqref="AE3:AE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SurfaceCut1" prompt="Select to suppress or unsuppress the feature_x000a_Possible Options:_x000a_Suppressed_x000a_Unsuppressed_x000a_S = Suppressed_x000a_U = Unsuppressed_x000a_1 = Suppressed_x000a_0 = Unsuppressed" sqref="AF3:AF20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Case Axis" prompt="Select to suppress or unsuppress the feature_x000a_Possible Options:_x000a_Suppressed_x000a_Unsuppressed_x000a_S = Suppressed_x000a_U = Unsuppressed_x000a_1 = Suppressed_x000a_0 = Unsuppressed" sqref="AK3:AK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Case Axis Sketch" prompt="Select to suppress or unsuppress the feature_x000a_Possible Options:_x000a_Suppressed_x000a_Unsuppressed_x000a_S = Suppressed_x000a_U = Unsuppressed_x000a_1 = Suppressed_x000a_0 = Unsuppressed" sqref="AL3:AL26">
      <formula1>"SUPPRESSED,UNSUPPRESSED,S,U,1,0"</formula1>
    </dataValidation>
    <dataValidation type="list" allowBlank="1" showInputMessage="1" showErrorMessage="1" errorTitle="SOLIDWORKS Error:" error="The value you have entered is invalid.  Please enter a valid value before continuing." promptTitle="$STATE@Lead Cut Surface" prompt="Select to suppress or unsuppress the feature_x000a_Possible Options:_x000a_Suppressed_x000a_Unsuppressed_x000a_S = Suppressed_x000a_U = Unsuppressed_x000a_1 = Suppressed_x000a_0 = Unsuppressed" sqref="AM3:AM26">
      <formula1>"SUPPRESSED,UNSUPPRESSED,S,U,1,0"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2"/>
  <sheetViews>
    <sheetView zoomScale="83" workbookViewId="0"/>
  </sheetViews>
  <sheetFormatPr defaultRowHeight="15"/>
  <sheetData>
    <row r="1" spans="1:1">
      <c r="A1" t="s">
        <v>14</v>
      </c>
    </row>
    <row r="2" spans="1:1">
      <c r="A2" s="1" t="s">
        <v>22</v>
      </c>
    </row>
    <row r="3" spans="1:1">
      <c r="A3" s="1" t="s">
        <v>91</v>
      </c>
    </row>
    <row r="4" spans="1:1">
      <c r="A4" s="1" t="s">
        <v>96</v>
      </c>
    </row>
    <row r="5" spans="1:1">
      <c r="A5" s="1" t="s">
        <v>23</v>
      </c>
    </row>
    <row r="6" spans="1:1">
      <c r="A6" s="1" t="s">
        <v>113</v>
      </c>
    </row>
    <row r="7" spans="1:1">
      <c r="A7" s="1" t="s">
        <v>109</v>
      </c>
    </row>
    <row r="8" spans="1:1">
      <c r="A8" s="1" t="s">
        <v>24</v>
      </c>
    </row>
    <row r="9" spans="1:1">
      <c r="A9" s="1" t="s">
        <v>125</v>
      </c>
    </row>
    <row r="10" spans="1:1">
      <c r="A10" s="1" t="s">
        <v>127</v>
      </c>
    </row>
    <row r="11" spans="1:1">
      <c r="A11" s="1" t="s">
        <v>123</v>
      </c>
    </row>
    <row r="12" spans="1:1">
      <c r="A12" s="1" t="s">
        <v>29</v>
      </c>
    </row>
    <row r="13" spans="1:1">
      <c r="A13" s="1" t="s">
        <v>134</v>
      </c>
    </row>
    <row r="14" spans="1:1">
      <c r="A14" s="1" t="s">
        <v>136</v>
      </c>
    </row>
    <row r="15" spans="1:1">
      <c r="A15" s="1" t="s">
        <v>138</v>
      </c>
    </row>
    <row r="16" spans="1:1">
      <c r="A16" s="1" t="s">
        <v>54</v>
      </c>
    </row>
    <row r="17" spans="1:1">
      <c r="A17" s="1" t="s">
        <v>145</v>
      </c>
    </row>
    <row r="18" spans="1:1">
      <c r="A18" s="1" t="s">
        <v>148</v>
      </c>
    </row>
    <row r="19" spans="1:1">
      <c r="A19" s="1" t="s">
        <v>151</v>
      </c>
    </row>
    <row r="20" spans="1:1">
      <c r="A20" s="1" t="s">
        <v>196</v>
      </c>
    </row>
    <row r="21" spans="1:1">
      <c r="A21" s="1" t="s">
        <v>197</v>
      </c>
    </row>
    <row r="22" spans="1:1">
      <c r="A22" s="1" t="s">
        <v>198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CN30"/>
  <sheetViews>
    <sheetView topLeftCell="B1" zoomScale="83" workbookViewId="0">
      <selection activeCell="H17" sqref="H17:H26"/>
    </sheetView>
  </sheetViews>
  <sheetFormatPr defaultRowHeight="15"/>
  <cols>
    <col min="1" max="1" width="22" style="1" bestFit="1" customWidth="1"/>
    <col min="2" max="2" width="25.5703125" style="2" bestFit="1" customWidth="1"/>
    <col min="3" max="3" width="3.85546875" style="2" customWidth="1"/>
    <col min="4" max="4" width="9.140625" style="2" customWidth="1"/>
    <col min="5" max="5" width="8.5703125" style="2" bestFit="1" customWidth="1"/>
    <col min="6" max="6" width="9" style="2" customWidth="1"/>
    <col min="7" max="7" width="6.42578125" style="2" customWidth="1"/>
    <col min="8" max="8" width="14.140625" style="2" bestFit="1" customWidth="1"/>
    <col min="9" max="10" width="9" style="2" customWidth="1"/>
    <col min="11" max="12" width="8" style="2" customWidth="1"/>
    <col min="13" max="13" width="10" style="2" customWidth="1"/>
    <col min="14" max="14" width="6.42578125" style="2" bestFit="1" customWidth="1"/>
    <col min="15" max="15" width="10" style="2" bestFit="1" customWidth="1"/>
    <col min="16" max="16" width="27.140625" style="2" customWidth="1"/>
    <col min="17" max="17" width="19.140625" style="2" customWidth="1"/>
    <col min="18" max="18" width="10.85546875" style="2" bestFit="1" customWidth="1"/>
    <col min="19" max="28" width="3.7109375" style="1" customWidth="1"/>
    <col min="29" max="32" width="3.7109375" style="2" customWidth="1"/>
    <col min="33" max="34" width="10" style="2" bestFit="1" customWidth="1"/>
    <col min="35" max="35" width="20.7109375" style="2" customWidth="1"/>
    <col min="36" max="36" width="10" style="2" bestFit="1" customWidth="1"/>
    <col min="37" max="39" width="3.7109375" style="2" customWidth="1"/>
    <col min="40" max="40" width="9.28515625" style="2" bestFit="1" customWidth="1"/>
    <col min="41" max="41" width="8.28515625" style="2" bestFit="1" customWidth="1"/>
    <col min="42" max="48" width="0.5703125" style="2" customWidth="1"/>
    <col min="49" max="49" width="0.5703125" customWidth="1"/>
    <col min="50" max="50" width="3.7109375" customWidth="1"/>
    <col min="52" max="52" width="10.28515625" bestFit="1" customWidth="1"/>
    <col min="53" max="55" width="8.85546875" bestFit="1" customWidth="1"/>
    <col min="56" max="57" width="7.7109375" bestFit="1" customWidth="1"/>
    <col min="58" max="58" width="8.7109375" bestFit="1" customWidth="1"/>
    <col min="59" max="59" width="11" bestFit="1" customWidth="1"/>
    <col min="60" max="60" width="6" bestFit="1" customWidth="1"/>
    <col min="61" max="61" width="4" bestFit="1" customWidth="1"/>
    <col min="62" max="62" width="6" customWidth="1"/>
    <col min="63" max="63" width="3.7109375" bestFit="1" customWidth="1"/>
    <col min="64" max="64" width="10.42578125" bestFit="1" customWidth="1"/>
    <col min="65" max="67" width="5.28515625" bestFit="1" customWidth="1"/>
    <col min="68" max="68" width="4.42578125" bestFit="1" customWidth="1"/>
    <col min="69" max="69" width="5.28515625" bestFit="1" customWidth="1"/>
    <col min="70" max="72" width="6.28515625" bestFit="1" customWidth="1"/>
    <col min="73" max="73" width="4.42578125" bestFit="1" customWidth="1"/>
    <col min="74" max="74" width="6.28515625" bestFit="1" customWidth="1"/>
    <col min="75" max="75" width="12.5703125" bestFit="1" customWidth="1"/>
    <col min="76" max="76" width="6.28515625" bestFit="1" customWidth="1"/>
    <col min="77" max="77" width="12.5703125" bestFit="1" customWidth="1"/>
    <col min="78" max="78" width="4.42578125" bestFit="1" customWidth="1"/>
    <col min="79" max="80" width="3.7109375" bestFit="1" customWidth="1"/>
    <col min="81" max="83" width="3.7109375" customWidth="1"/>
    <col min="84" max="86" width="3.7109375" bestFit="1" customWidth="1"/>
    <col min="87" max="87" width="9.42578125" bestFit="1" customWidth="1"/>
    <col min="89" max="89" width="5.5703125" bestFit="1" customWidth="1"/>
  </cols>
  <sheetData>
    <row r="1" spans="1:92">
      <c r="A1" s="12" t="s">
        <v>75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14"/>
      <c r="V1" s="14"/>
      <c r="W1" s="14"/>
      <c r="X1" s="14"/>
      <c r="Y1" s="14"/>
      <c r="Z1" s="14"/>
      <c r="AA1" s="14"/>
      <c r="AB1" s="14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5"/>
      <c r="AX1" s="41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6"/>
      <c r="CK1" s="45">
        <f t="array" ref="CK1">IFERROR(MATCH(FALSE,$A1:$AX1=Sheet1!$A1:$AX1,0),0)</f>
        <v>0</v>
      </c>
      <c r="CL1" s="37"/>
    </row>
    <row r="2" spans="1:92" s="4" customFormat="1" ht="248.25">
      <c r="A2" s="17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18" t="s">
        <v>11</v>
      </c>
      <c r="N2" s="18" t="s">
        <v>19</v>
      </c>
      <c r="O2" s="18" t="s">
        <v>12</v>
      </c>
      <c r="P2" s="18" t="s">
        <v>78</v>
      </c>
      <c r="Q2" s="18" t="s">
        <v>14</v>
      </c>
      <c r="R2" s="18" t="s">
        <v>15</v>
      </c>
      <c r="S2" s="19" t="s">
        <v>25</v>
      </c>
      <c r="T2" s="19" t="s">
        <v>26</v>
      </c>
      <c r="U2" s="19" t="s">
        <v>45</v>
      </c>
      <c r="V2" s="19" t="s">
        <v>49</v>
      </c>
      <c r="W2" s="19" t="s">
        <v>46</v>
      </c>
      <c r="X2" s="19" t="s">
        <v>50</v>
      </c>
      <c r="Y2" s="19" t="s">
        <v>47</v>
      </c>
      <c r="Z2" s="19" t="s">
        <v>51</v>
      </c>
      <c r="AA2" s="19" t="s">
        <v>48</v>
      </c>
      <c r="AB2" s="19" t="s">
        <v>52</v>
      </c>
      <c r="AC2" s="18" t="s">
        <v>69</v>
      </c>
      <c r="AD2" s="18" t="s">
        <v>72</v>
      </c>
      <c r="AE2" s="18" t="s">
        <v>73</v>
      </c>
      <c r="AF2" s="18" t="s">
        <v>71</v>
      </c>
      <c r="AG2" s="18" t="s">
        <v>199</v>
      </c>
      <c r="AH2" s="18" t="s">
        <v>18</v>
      </c>
      <c r="AI2" s="18" t="s">
        <v>20</v>
      </c>
      <c r="AJ2" s="18" t="s">
        <v>21</v>
      </c>
      <c r="AK2" s="18" t="s">
        <v>27</v>
      </c>
      <c r="AL2" s="18" t="s">
        <v>28</v>
      </c>
      <c r="AM2" s="18" t="s">
        <v>74</v>
      </c>
      <c r="AN2" s="18" t="s">
        <v>201</v>
      </c>
      <c r="AO2" s="18" t="s">
        <v>202</v>
      </c>
      <c r="AP2" s="18"/>
      <c r="AQ2" s="18"/>
      <c r="AR2" s="18"/>
      <c r="AS2" s="18"/>
      <c r="AT2" s="18"/>
      <c r="AU2" s="18"/>
      <c r="AV2" s="18"/>
      <c r="AW2" s="20"/>
      <c r="AX2" s="42"/>
      <c r="AY2" s="20" t="s">
        <v>40</v>
      </c>
      <c r="AZ2" s="20" t="s">
        <v>36</v>
      </c>
      <c r="BA2" s="18" t="s">
        <v>166</v>
      </c>
      <c r="BB2" s="18" t="s">
        <v>57</v>
      </c>
      <c r="BC2" s="18" t="s">
        <v>66</v>
      </c>
      <c r="BD2" s="18" t="s">
        <v>56</v>
      </c>
      <c r="BE2" s="18" t="s">
        <v>58</v>
      </c>
      <c r="BF2" s="18" t="s">
        <v>67</v>
      </c>
      <c r="BG2" s="18" t="s">
        <v>38</v>
      </c>
      <c r="BH2" s="18" t="s">
        <v>68</v>
      </c>
      <c r="BI2" s="18" t="s">
        <v>153</v>
      </c>
      <c r="BJ2" s="18" t="s">
        <v>154</v>
      </c>
      <c r="BK2" s="18" t="s">
        <v>56</v>
      </c>
      <c r="BL2" s="18" t="s">
        <v>155</v>
      </c>
      <c r="BM2" s="18" t="s">
        <v>156</v>
      </c>
      <c r="BN2" s="18" t="s">
        <v>157</v>
      </c>
      <c r="BO2" s="18" t="s">
        <v>158</v>
      </c>
      <c r="BP2" s="18" t="s">
        <v>159</v>
      </c>
      <c r="BQ2" s="3" t="s">
        <v>163</v>
      </c>
      <c r="BR2" s="18" t="s">
        <v>200</v>
      </c>
      <c r="BS2" s="18" t="s">
        <v>164</v>
      </c>
      <c r="BT2" s="18" t="s">
        <v>160</v>
      </c>
      <c r="BU2" s="18" t="s">
        <v>161</v>
      </c>
      <c r="BV2" s="18" t="s">
        <v>30</v>
      </c>
      <c r="BW2" s="18" t="s">
        <v>165</v>
      </c>
      <c r="BX2" s="18" t="s">
        <v>162</v>
      </c>
      <c r="BY2" s="18" t="s">
        <v>152</v>
      </c>
      <c r="BZ2" s="3" t="s">
        <v>204</v>
      </c>
      <c r="CA2" s="20" t="s">
        <v>37</v>
      </c>
      <c r="CB2" s="20" t="s">
        <v>61</v>
      </c>
      <c r="CC2" s="18" t="s">
        <v>64</v>
      </c>
      <c r="CD2" s="18" t="s">
        <v>59</v>
      </c>
      <c r="CE2" s="18" t="s">
        <v>60</v>
      </c>
      <c r="CF2" s="18" t="s">
        <v>62</v>
      </c>
      <c r="CG2" s="18" t="s">
        <v>63</v>
      </c>
      <c r="CH2" s="20" t="s">
        <v>65</v>
      </c>
      <c r="CI2" s="20"/>
      <c r="CJ2" s="21"/>
      <c r="CK2" s="45">
        <f t="array" ref="CK2">IFERROR(MATCH(FALSE,$A2:$AX2=Sheet1!$A2:$AX2,0),0)</f>
        <v>0</v>
      </c>
      <c r="CL2" s="37"/>
    </row>
    <row r="3" spans="1:92">
      <c r="A3" s="22" t="s">
        <v>22</v>
      </c>
      <c r="B3" s="23" t="str">
        <f>TRIM(Package&amp;" "&amp;Lead_Spacing_Text&amp;Stand_Off_Text&amp;INDEX(PkgTable,$CA3,MATCH("Package Material",PkgTblHdr,0)))</f>
        <v>DO-41 AXIAL-0.3 Glass</v>
      </c>
      <c r="C3" s="23" t="str">
        <f>IF(Parent?,"$C","$P")</f>
        <v>$C</v>
      </c>
      <c r="D3" s="23">
        <f t="shared" ref="D3:D26" si="0">INDEX(PkgTable,$CA3,MATCH(D$2,PkgTblHdr,0))</f>
        <v>16777215</v>
      </c>
      <c r="E3" s="23" t="str">
        <f t="shared" ref="E3:F26" si="1">"="&amp;INDEX(PkgInstanceValues,1,MATCH(MID(E$2,1+LEN("$VALUE@"),LEN(E$2)-LEN("$Value@@Equations")),PkgInstanceHdr,0))&amp;"mm"</f>
        <v>=2.6mm</v>
      </c>
      <c r="F3" s="23" t="str">
        <f t="shared" si="1"/>
        <v>=26mm</v>
      </c>
      <c r="G3" s="23" t="str">
        <f>"="&amp;Config_Stand_Off&amp;"mm"</f>
        <v>=1mm</v>
      </c>
      <c r="H3" s="23" t="str">
        <f t="shared" ref="H3:N12" si="2">"="&amp;INDEX(PkgInstanceValues,1,MATCH(MID(H$2,1+LEN("$VALUE@"),LEN(H$2)-LEN("$Value@@Equations")),PkgInstanceHdr,0))&amp;"mm"</f>
        <v>=0.65mm</v>
      </c>
      <c r="I3" s="23" t="str">
        <f t="shared" si="2"/>
        <v>=4.1mm</v>
      </c>
      <c r="J3" s="23" t="str">
        <f t="shared" si="2"/>
        <v>=0.7mm</v>
      </c>
      <c r="K3" s="23" t="str">
        <f t="shared" si="2"/>
        <v>=0.9mm</v>
      </c>
      <c r="L3" s="23" t="str">
        <f t="shared" si="2"/>
        <v>=1mm</v>
      </c>
      <c r="M3" s="23" t="str">
        <f t="shared" si="2"/>
        <v>=0.1mm</v>
      </c>
      <c r="N3" s="23" t="str">
        <f t="shared" si="2"/>
        <v>=2mm</v>
      </c>
      <c r="O3" s="23" t="str">
        <f>"="&amp;Config_Lead_Spacing*25.4/1000&amp;"mm"</f>
        <v>=7.62mm</v>
      </c>
      <c r="P3" s="23" t="str">
        <f t="shared" ref="P3:P26" si="3">INDEX(PkgTable,$CA3,MATCH(P$2,PkgTblHdr,0))</f>
        <v>SOLIDWORKS Materials:Glass</v>
      </c>
      <c r="Q3" s="26"/>
      <c r="R3" s="25" t="str">
        <f>Lead_Spacing_Text</f>
        <v xml:space="preserve">AXIAL-0.3 </v>
      </c>
      <c r="S3" s="23" t="str">
        <f>IF($AY3,INDEX(PkgTable,$CA3,MATCH(S$2,PkgTblHdr,0)),"")</f>
        <v>U</v>
      </c>
      <c r="T3" s="23" t="str">
        <f>IF($AY3,INDEX(PkgTable,$CA3,MATCH(T$2,PkgTblHdr,0)),"")</f>
        <v>U</v>
      </c>
      <c r="U3" s="23" t="str">
        <f>IF($AY3,INDEX(PkgTable,$CA3,MATCH(U$2,PkgTblHdr,0)),"")</f>
        <v>U</v>
      </c>
      <c r="V3" s="23" t="str">
        <f>IF($AY3,INDEX(PkgTable,$CA3,MATCH(V$2,PkgTblHdr,0)),"")</f>
        <v>U</v>
      </c>
      <c r="W3" s="23" t="str">
        <f>IF($AY3,INDEX(PkgTable,$CA3,MATCH(W$2,PkgTblHdr,0)),"")</f>
        <v>S</v>
      </c>
      <c r="X3" s="23" t="str">
        <f>IF($AY3,INDEX(PkgTable,$CA3,MATCH(X$2,PkgTblHdr,0)),"")</f>
        <v>U</v>
      </c>
      <c r="Y3" s="23" t="str">
        <f>IF($AY3,INDEX(PkgTable,$CA3,MATCH(Y$2,PkgTblHdr,0)),"")</f>
        <v>S</v>
      </c>
      <c r="Z3" s="23" t="str">
        <f>IF($AY3,INDEX(PkgTable,$CA3,MATCH(Z$2,PkgTblHdr,0)),"")</f>
        <v>U</v>
      </c>
      <c r="AA3" s="23" t="str">
        <f>IF($AY3,INDEX(PkgTable,$CA3,MATCH(AA$2,PkgTblHdr,0)),"")</f>
        <v>S</v>
      </c>
      <c r="AB3" s="23" t="str">
        <f>IF($AY3,INDEX(PkgTable,$CA3,MATCH(AB$2,PkgTblHdr,0)),"")</f>
        <v>U</v>
      </c>
      <c r="AC3" s="23" t="str">
        <f>IF($AY3,INDEX(PkgTable,$CA3,MATCH(AC$2,PkgTblHdr,0)),"")</f>
        <v>U</v>
      </c>
      <c r="AD3" s="23" t="str">
        <f>IF($AY3,INDEX(PkgTable,$CA3,MATCH(AD$2,PkgTblHdr,0)),"")</f>
        <v>U</v>
      </c>
      <c r="AE3" s="23" t="str">
        <f>IF($AY3,INDEX(PkgTable,$CA3,MATCH(AE$2,PkgTblHdr,0)),"")</f>
        <v>U</v>
      </c>
      <c r="AF3" s="23" t="s">
        <v>17</v>
      </c>
      <c r="AG3" s="23" t="str">
        <f t="shared" ref="AG3:AJ26" si="4">"="&amp;INDEX(PkgInstanceValues,1,MATCH(MID(AG$2,1+LEN("$VALUE@"),LEN(AG$2)-LEN("$Value@@Equations")),PkgInstanceHdr,0))&amp;"mm"</f>
        <v>=0.001mm</v>
      </c>
      <c r="AH3" s="23" t="str">
        <f t="shared" si="4"/>
        <v>=0.001mm</v>
      </c>
      <c r="AI3" s="23" t="str">
        <f t="shared" si="4"/>
        <v>=8.16814089933346mm</v>
      </c>
      <c r="AJ3" s="23" t="str">
        <f t="shared" si="4"/>
        <v>=0.84mm</v>
      </c>
      <c r="AK3" s="23" t="str">
        <f>IF($AY3,"U","")</f>
        <v>U</v>
      </c>
      <c r="AL3" s="23" t="str">
        <f t="shared" ref="AL3:AM18" si="5">IF($AY3,"U","")</f>
        <v>U</v>
      </c>
      <c r="AM3" s="23" t="str">
        <f t="shared" si="5"/>
        <v>U</v>
      </c>
      <c r="AN3" s="23" t="str">
        <f t="shared" ref="AN3:AO26" si="6">"="&amp;INDEX(PkgInstanceValues,1,MATCH(MID(AN$2,1+LEN("$VALUE@"),LEN(AN$2)-LEN("$Value@@Equations")),PkgInstanceHdr,0))&amp;"mm"</f>
        <v>=0.7mm</v>
      </c>
      <c r="AO3" s="23" t="str">
        <f t="shared" si="6"/>
        <v>=0.1mm</v>
      </c>
      <c r="AP3" s="23"/>
      <c r="AQ3" s="23"/>
      <c r="AR3" s="23"/>
      <c r="AS3" s="23"/>
      <c r="AT3" s="23"/>
      <c r="AU3" s="23"/>
      <c r="AV3" s="23"/>
      <c r="AW3" s="26"/>
      <c r="AX3" s="43"/>
      <c r="AY3" s="26" t="b">
        <f>ISBLANK($Q3)</f>
        <v>1</v>
      </c>
      <c r="AZ3" s="26" t="str">
        <f t="shared" ref="AZ3:AZ26" si="7">IF(Parent?,$A3,$Q3)</f>
        <v>DO-41</v>
      </c>
      <c r="BA3" s="25">
        <f t="shared" ref="BA3:BB18" si="8">INDEX(PkgTable,$CA3,MATCH(BA$2,PkgTblHdr,0))</f>
        <v>300</v>
      </c>
      <c r="BB3" s="27">
        <f t="shared" si="8"/>
        <v>100</v>
      </c>
      <c r="BC3" s="25">
        <f>Lead_Spacing__mils+Lead_Spacing_Increment*($CF3-1)-IF(AND(Lead_Spacing_Increment&gt;0,$CF3&gt;1),MOD(Lead_Spacing__mils,Lead_Spacing_Increment),0)</f>
        <v>300</v>
      </c>
      <c r="BD3" s="28">
        <f t="shared" ref="BD3:BE18" si="9">INDEX(PkgTable,$CA3,MATCH(BD$2,PkgTblHdr,0))</f>
        <v>1</v>
      </c>
      <c r="BE3" s="28">
        <f t="shared" si="9"/>
        <v>0</v>
      </c>
      <c r="BF3" s="28">
        <f>Stand_Off+Stand_Off_Increment*($CG3-1)-IF(AND(Stand_Off_Increment&gt;0,$CG3&gt;1),MOD(Stand_Off,Stand_Off_Increment),0)</f>
        <v>1</v>
      </c>
      <c r="BG3" s="25" t="str">
        <f t="shared" ref="BG3:BG17" si="10">"AXIAL-"&amp;TEXT($BC3/1000,"0.0##")&amp;" "</f>
        <v xml:space="preserve">AXIAL-0.3 </v>
      </c>
      <c r="BH3" s="25" t="str">
        <f>IF(Config_Stand_Off=1,"","["&amp;TEXT(Config_Stand_Off,"00.0##")&amp;"] ")</f>
        <v/>
      </c>
      <c r="BI3" s="23">
        <f t="shared" ref="BI3:BZ18" si="11">INDEX(PkgTable,$CA3,MATCH(BI$2,PkgTblHdr,0))</f>
        <v>2.6</v>
      </c>
      <c r="BJ3" s="23">
        <f t="shared" si="11"/>
        <v>26</v>
      </c>
      <c r="BK3" s="23">
        <f t="shared" si="11"/>
        <v>1</v>
      </c>
      <c r="BL3" s="23">
        <f t="shared" si="11"/>
        <v>0.65</v>
      </c>
      <c r="BM3" s="23">
        <f t="shared" si="11"/>
        <v>4.0999999999999996</v>
      </c>
      <c r="BN3" s="23">
        <f t="shared" si="11"/>
        <v>0.7</v>
      </c>
      <c r="BO3" s="23">
        <f t="shared" si="11"/>
        <v>0.9</v>
      </c>
      <c r="BP3" s="23">
        <f t="shared" si="11"/>
        <v>1</v>
      </c>
      <c r="BQ3" s="23">
        <f t="shared" si="11"/>
        <v>0.7</v>
      </c>
      <c r="BR3" s="23">
        <f t="shared" si="11"/>
        <v>1E-3</v>
      </c>
      <c r="BS3" s="23">
        <f t="shared" si="11"/>
        <v>1E-3</v>
      </c>
      <c r="BT3" s="23">
        <f t="shared" si="11"/>
        <v>0.1</v>
      </c>
      <c r="BU3" s="23">
        <f t="shared" si="11"/>
        <v>2</v>
      </c>
      <c r="BV3" s="23">
        <f t="shared" si="11"/>
        <v>7.62</v>
      </c>
      <c r="BW3" s="23">
        <f t="shared" si="11"/>
        <v>8.1681408993334621</v>
      </c>
      <c r="BX3" s="23">
        <f t="shared" si="11"/>
        <v>0.84</v>
      </c>
      <c r="BY3" s="23">
        <f t="shared" ref="BY3:BY26" si="12">BJ3-(Lead_Extend_Length+Config_Stand_Off-2*Lead_Bend_Radius)-(Case_Diameter+Config_Lead_Spacing*25.4/1000+Lead_Bend_Radius*PI()-Case_Length)/2</f>
        <v>20.300531085492288</v>
      </c>
      <c r="BZ3" s="23">
        <f t="shared" si="11"/>
        <v>0.1</v>
      </c>
      <c r="CA3" s="26">
        <f>MATCH(Package,'Package Dimensions'!$B:$B,0)-2</f>
        <v>1</v>
      </c>
      <c r="CB3" s="26">
        <f>COUNTIF($AZ:$AZ,Package)</f>
        <v>3</v>
      </c>
      <c r="CC3" s="26">
        <f>IF(Parent?,1,CC2+1)</f>
        <v>1</v>
      </c>
      <c r="CD3" s="26">
        <f t="shared" ref="CD3:CE18" si="13">INDEX(PkgTable,$CA3,MATCH(CD$2,PkgTblHdr,0))</f>
        <v>3</v>
      </c>
      <c r="CE3" s="26">
        <f t="shared" si="13"/>
        <v>1</v>
      </c>
      <c r="CF3" s="26">
        <f t="shared" ref="CF3:CF24" si="14">1+MOD((CC3-MOD(CC3-1,CE3)-1)/CE3,CD3)</f>
        <v>1</v>
      </c>
      <c r="CG3" s="26">
        <f t="shared" ref="CG3:CG26" si="15">MOD($CC3-1,$CE3)+1</f>
        <v>1</v>
      </c>
      <c r="CH3" s="26">
        <f>CD3*CE3</f>
        <v>3</v>
      </c>
      <c r="CI3" s="28"/>
      <c r="CJ3" s="29"/>
      <c r="CK3" s="45">
        <f t="array" ref="CK3">IFERROR(MATCH(FALSE,$A3:$AX3=Sheet1!$A3:$AX3,0),0)</f>
        <v>0</v>
      </c>
      <c r="CL3" s="37"/>
    </row>
    <row r="4" spans="1:92">
      <c r="A4" s="22" t="str">
        <f t="shared" ref="A4:A5" si="16">TRIM($AZ4&amp;" "&amp;$BG4&amp;$BH4)</f>
        <v>DO-41 AXIAL-0.4</v>
      </c>
      <c r="B4" s="23" t="str">
        <f t="shared" ref="B4:B26" si="17">TRIM($AZ4&amp;" "&amp;$BG4&amp;$BH4&amp;INDEX(PkgTable,$CA4,MATCH("Package Material",PkgTblHdr,0)))</f>
        <v>DO-41 AXIAL-0.4 Glass</v>
      </c>
      <c r="C4" s="23" t="str">
        <f t="shared" ref="C4:C26" si="18">IF($AY4,"$C","$P")</f>
        <v>$P</v>
      </c>
      <c r="D4" s="23">
        <f t="shared" si="0"/>
        <v>16777215</v>
      </c>
      <c r="E4" s="23" t="str">
        <f t="shared" si="1"/>
        <v>=2.6mm</v>
      </c>
      <c r="F4" s="23" t="str">
        <f t="shared" si="1"/>
        <v>=26mm</v>
      </c>
      <c r="G4" s="23" t="str">
        <f t="shared" ref="G4:G26" si="19">"="&amp;$BF4&amp;"mm"</f>
        <v>=1mm</v>
      </c>
      <c r="H4" s="23" t="str">
        <f t="shared" si="2"/>
        <v>=0.65mm</v>
      </c>
      <c r="I4" s="23" t="str">
        <f t="shared" si="2"/>
        <v>=4.1mm</v>
      </c>
      <c r="J4" s="23" t="str">
        <f t="shared" si="2"/>
        <v>=0.7mm</v>
      </c>
      <c r="K4" s="23" t="str">
        <f t="shared" si="2"/>
        <v>=0.9mm</v>
      </c>
      <c r="L4" s="23" t="str">
        <f t="shared" si="2"/>
        <v>=1mm</v>
      </c>
      <c r="M4" s="23" t="str">
        <f t="shared" si="2"/>
        <v>=0.1mm</v>
      </c>
      <c r="N4" s="23" t="str">
        <f t="shared" si="2"/>
        <v>=2mm</v>
      </c>
      <c r="O4" s="23" t="str">
        <f t="shared" ref="O4:O26" si="20">"="&amp;$BC4*25.4/1000&amp;"mm"</f>
        <v>=10.16mm</v>
      </c>
      <c r="P4" s="23" t="str">
        <f t="shared" si="3"/>
        <v>SOLIDWORKS Materials:Glass</v>
      </c>
      <c r="Q4" s="26" t="str">
        <f t="shared" ref="Q4:Q16" si="21">IF(ISBLANK($Q3),$A3,$Q3)</f>
        <v>DO-41</v>
      </c>
      <c r="R4" s="25" t="str">
        <f t="shared" ref="R4:R26" si="22">$BG4</f>
        <v xml:space="preserve">AXIAL-0.4 </v>
      </c>
      <c r="S4" s="23" t="str">
        <f>IF($AY4,INDEX(PkgTable,$CA4,MATCH(S$2,PkgTblHdr,0)),"")</f>
        <v/>
      </c>
      <c r="T4" s="23" t="str">
        <f>IF($AY4,INDEX(PkgTable,$CA4,MATCH(T$2,PkgTblHdr,0)),"")</f>
        <v/>
      </c>
      <c r="U4" s="23" t="str">
        <f>IF($AY4,INDEX(PkgTable,$CA4,MATCH(U$2,PkgTblHdr,0)),"")</f>
        <v/>
      </c>
      <c r="V4" s="23" t="str">
        <f>IF($AY4,INDEX(PkgTable,$CA4,MATCH(V$2,PkgTblHdr,0)),"")</f>
        <v/>
      </c>
      <c r="W4" s="23" t="str">
        <f>IF($AY4,INDEX(PkgTable,$CA4,MATCH(W$2,PkgTblHdr,0)),"")</f>
        <v/>
      </c>
      <c r="X4" s="23" t="str">
        <f>IF($AY4,INDEX(PkgTable,$CA4,MATCH(X$2,PkgTblHdr,0)),"")</f>
        <v/>
      </c>
      <c r="Y4" s="23" t="str">
        <f>IF($AY4,INDEX(PkgTable,$CA4,MATCH(Y$2,PkgTblHdr,0)),"")</f>
        <v/>
      </c>
      <c r="Z4" s="23" t="str">
        <f>IF($AY4,INDEX(PkgTable,$CA4,MATCH(Z$2,PkgTblHdr,0)),"")</f>
        <v/>
      </c>
      <c r="AA4" s="23" t="str">
        <f>IF($AY4,INDEX(PkgTable,$CA4,MATCH(AA$2,PkgTblHdr,0)),"")</f>
        <v/>
      </c>
      <c r="AB4" s="23" t="str">
        <f>IF($AY4,INDEX(PkgTable,$CA4,MATCH(AB$2,PkgTblHdr,0)),"")</f>
        <v/>
      </c>
      <c r="AC4" s="23" t="str">
        <f>IF($AY4,INDEX(PkgTable,$CA4,MATCH(AC$2,PkgTblHdr,0)),"")</f>
        <v/>
      </c>
      <c r="AD4" s="23" t="str">
        <f>IF($AY4,INDEX(PkgTable,$CA4,MATCH(AD$2,PkgTblHdr,0)),"")</f>
        <v/>
      </c>
      <c r="AE4" s="23" t="str">
        <f>IF($AY4,INDEX(PkgTable,$CA4,MATCH(AE$2,PkgTblHdr,0)),"")</f>
        <v/>
      </c>
      <c r="AF4" s="23"/>
      <c r="AG4" s="23" t="str">
        <f t="shared" si="4"/>
        <v>=0.001mm</v>
      </c>
      <c r="AH4" s="23" t="str">
        <f t="shared" si="4"/>
        <v>=0.001mm</v>
      </c>
      <c r="AI4" s="23" t="str">
        <f t="shared" si="4"/>
        <v>=8.16814089933346mm</v>
      </c>
      <c r="AJ4" s="23" t="str">
        <f t="shared" si="4"/>
        <v>=0.84mm</v>
      </c>
      <c r="AK4" s="23" t="str">
        <f t="shared" ref="AK4:AM26" si="23">IF($AY4,"U","")</f>
        <v/>
      </c>
      <c r="AL4" s="23" t="str">
        <f t="shared" si="5"/>
        <v/>
      </c>
      <c r="AM4" s="23" t="str">
        <f t="shared" si="5"/>
        <v/>
      </c>
      <c r="AN4" s="23" t="str">
        <f t="shared" si="6"/>
        <v>=0.7mm</v>
      </c>
      <c r="AO4" s="23" t="str">
        <f t="shared" si="6"/>
        <v>=0.1mm</v>
      </c>
      <c r="AP4" s="24"/>
      <c r="AQ4" s="24"/>
      <c r="AR4" s="24"/>
      <c r="AS4" s="24"/>
      <c r="AT4" s="24"/>
      <c r="AU4" s="24"/>
      <c r="AV4" s="24"/>
      <c r="AW4" s="26"/>
      <c r="AX4" s="43"/>
      <c r="AY4" s="26" t="b">
        <f t="shared" ref="AY4:AY26" si="24">ISBLANK($Q4)</f>
        <v>0</v>
      </c>
      <c r="AZ4" s="26" t="str">
        <f t="shared" si="7"/>
        <v>DO-41</v>
      </c>
      <c r="BA4" s="25">
        <f t="shared" si="8"/>
        <v>300</v>
      </c>
      <c r="BB4" s="27">
        <f t="shared" si="8"/>
        <v>100</v>
      </c>
      <c r="BC4" s="25">
        <f t="shared" ref="BC4:BC26" si="25">$BA4+$BB4*($CF4-1)-IF(AND($BB4&gt;0,$CF4&gt;1),MOD($BA4,$BB4),0)</f>
        <v>400</v>
      </c>
      <c r="BD4" s="28">
        <f t="shared" si="9"/>
        <v>1</v>
      </c>
      <c r="BE4" s="28">
        <f t="shared" si="9"/>
        <v>0</v>
      </c>
      <c r="BF4" s="28">
        <f t="shared" ref="BF4:BF26" si="26">$BD4+$BE4*($CG4-1)-IF(AND($BE4&gt;0,$CG4&gt;1),MOD($BD4,$BE4),0)</f>
        <v>1</v>
      </c>
      <c r="BG4" s="25" t="str">
        <f t="shared" si="10"/>
        <v xml:space="preserve">AXIAL-0.4 </v>
      </c>
      <c r="BH4" s="25" t="str">
        <f t="shared" ref="BH4:BH24" si="27">IF(BF4=1,"","["&amp;TEXT(BF4,"00.0##")&amp;"] ")</f>
        <v/>
      </c>
      <c r="BI4" s="23">
        <f t="shared" si="11"/>
        <v>2.6</v>
      </c>
      <c r="BJ4" s="23">
        <f t="shared" si="11"/>
        <v>26</v>
      </c>
      <c r="BK4" s="23">
        <f t="shared" si="11"/>
        <v>1</v>
      </c>
      <c r="BL4" s="23">
        <f t="shared" si="11"/>
        <v>0.65</v>
      </c>
      <c r="BM4" s="23">
        <f t="shared" si="11"/>
        <v>4.0999999999999996</v>
      </c>
      <c r="BN4" s="23">
        <f t="shared" si="11"/>
        <v>0.7</v>
      </c>
      <c r="BO4" s="23">
        <f t="shared" si="11"/>
        <v>0.9</v>
      </c>
      <c r="BP4" s="23">
        <f t="shared" si="11"/>
        <v>1</v>
      </c>
      <c r="BQ4" s="23">
        <f t="shared" si="11"/>
        <v>0.7</v>
      </c>
      <c r="BR4" s="23">
        <f t="shared" si="11"/>
        <v>1E-3</v>
      </c>
      <c r="BS4" s="23">
        <f t="shared" si="11"/>
        <v>1E-3</v>
      </c>
      <c r="BT4" s="23">
        <f t="shared" si="11"/>
        <v>0.1</v>
      </c>
      <c r="BU4" s="23">
        <f t="shared" si="11"/>
        <v>2</v>
      </c>
      <c r="BV4" s="23">
        <f t="shared" si="11"/>
        <v>7.62</v>
      </c>
      <c r="BW4" s="23">
        <f t="shared" si="11"/>
        <v>8.1681408993334621</v>
      </c>
      <c r="BX4" s="23">
        <f t="shared" si="11"/>
        <v>0.84</v>
      </c>
      <c r="BY4" s="23">
        <f t="shared" si="12"/>
        <v>19.030531085492285</v>
      </c>
      <c r="BZ4" s="23">
        <f t="shared" si="11"/>
        <v>0.1</v>
      </c>
      <c r="CA4" s="26">
        <f>MATCH($AZ4,'Package Dimensions'!$B:$B,0)-2</f>
        <v>1</v>
      </c>
      <c r="CB4" s="26">
        <f t="shared" ref="CB4:CB24" si="28">COUNTIF($AZ:$AZ,$AZ4)</f>
        <v>3</v>
      </c>
      <c r="CC4" s="26">
        <f t="shared" ref="CC4:CC26" si="29">IF($AY4,1,CC3+1)</f>
        <v>2</v>
      </c>
      <c r="CD4" s="26">
        <f t="shared" si="13"/>
        <v>3</v>
      </c>
      <c r="CE4" s="26">
        <f t="shared" si="13"/>
        <v>1</v>
      </c>
      <c r="CF4" s="26">
        <f t="shared" si="14"/>
        <v>2</v>
      </c>
      <c r="CG4" s="26">
        <f t="shared" si="15"/>
        <v>1</v>
      </c>
      <c r="CH4" s="26">
        <f t="shared" ref="CH4:CH24" si="30">CD4*CE4</f>
        <v>3</v>
      </c>
      <c r="CI4" s="28"/>
      <c r="CJ4" s="29"/>
      <c r="CK4" s="45">
        <f t="array" ref="CK4">IFERROR(MATCH(FALSE,$A4:$AX4=Sheet1!$A4:$AX4,0),0)</f>
        <v>0</v>
      </c>
      <c r="CL4" s="37"/>
      <c r="CM4" s="37"/>
      <c r="CN4" s="37"/>
    </row>
    <row r="5" spans="1:92">
      <c r="A5" s="22" t="str">
        <f t="shared" si="16"/>
        <v>DO-41 AXIAL-0.5</v>
      </c>
      <c r="B5" s="23" t="str">
        <f t="shared" si="17"/>
        <v>DO-41 AXIAL-0.5 Glass</v>
      </c>
      <c r="C5" s="23" t="str">
        <f t="shared" si="18"/>
        <v>$P</v>
      </c>
      <c r="D5" s="23">
        <f t="shared" si="0"/>
        <v>16777215</v>
      </c>
      <c r="E5" s="23" t="str">
        <f t="shared" si="1"/>
        <v>=2.6mm</v>
      </c>
      <c r="F5" s="23" t="str">
        <f t="shared" si="1"/>
        <v>=26mm</v>
      </c>
      <c r="G5" s="23" t="str">
        <f t="shared" si="19"/>
        <v>=1mm</v>
      </c>
      <c r="H5" s="23" t="str">
        <f t="shared" si="2"/>
        <v>=0.65mm</v>
      </c>
      <c r="I5" s="23" t="str">
        <f t="shared" si="2"/>
        <v>=4.1mm</v>
      </c>
      <c r="J5" s="23" t="str">
        <f t="shared" si="2"/>
        <v>=0.7mm</v>
      </c>
      <c r="K5" s="23" t="str">
        <f t="shared" si="2"/>
        <v>=0.9mm</v>
      </c>
      <c r="L5" s="23" t="str">
        <f t="shared" si="2"/>
        <v>=1mm</v>
      </c>
      <c r="M5" s="23" t="str">
        <f t="shared" si="2"/>
        <v>=0.1mm</v>
      </c>
      <c r="N5" s="23" t="str">
        <f t="shared" si="2"/>
        <v>=2mm</v>
      </c>
      <c r="O5" s="23" t="str">
        <f t="shared" si="20"/>
        <v>=12.7mm</v>
      </c>
      <c r="P5" s="23" t="str">
        <f t="shared" si="3"/>
        <v>SOLIDWORKS Materials:Glass</v>
      </c>
      <c r="Q5" s="26" t="str">
        <f t="shared" si="21"/>
        <v>DO-41</v>
      </c>
      <c r="R5" s="25" t="str">
        <f t="shared" si="22"/>
        <v xml:space="preserve">AXIAL-0.5 </v>
      </c>
      <c r="S5" s="23" t="str">
        <f>IF($AY5,INDEX(PkgTable,$CA5,MATCH(S$2,PkgTblHdr,0)),"")</f>
        <v/>
      </c>
      <c r="T5" s="23" t="str">
        <f>IF($AY5,INDEX(PkgTable,$CA5,MATCH(T$2,PkgTblHdr,0)),"")</f>
        <v/>
      </c>
      <c r="U5" s="23" t="str">
        <f>IF($AY5,INDEX(PkgTable,$CA5,MATCH(U$2,PkgTblHdr,0)),"")</f>
        <v/>
      </c>
      <c r="V5" s="23" t="str">
        <f>IF($AY5,INDEX(PkgTable,$CA5,MATCH(V$2,PkgTblHdr,0)),"")</f>
        <v/>
      </c>
      <c r="W5" s="23" t="str">
        <f>IF($AY5,INDEX(PkgTable,$CA5,MATCH(W$2,PkgTblHdr,0)),"")</f>
        <v/>
      </c>
      <c r="X5" s="23" t="str">
        <f>IF($AY5,INDEX(PkgTable,$CA5,MATCH(X$2,PkgTblHdr,0)),"")</f>
        <v/>
      </c>
      <c r="Y5" s="23" t="str">
        <f>IF($AY5,INDEX(PkgTable,$CA5,MATCH(Y$2,PkgTblHdr,0)),"")</f>
        <v/>
      </c>
      <c r="Z5" s="23" t="str">
        <f>IF($AY5,INDEX(PkgTable,$CA5,MATCH(Z$2,PkgTblHdr,0)),"")</f>
        <v/>
      </c>
      <c r="AA5" s="23" t="str">
        <f>IF($AY5,INDEX(PkgTable,$CA5,MATCH(AA$2,PkgTblHdr,0)),"")</f>
        <v/>
      </c>
      <c r="AB5" s="23" t="str">
        <f>IF($AY5,INDEX(PkgTable,$CA5,MATCH(AB$2,PkgTblHdr,0)),"")</f>
        <v/>
      </c>
      <c r="AC5" s="23" t="str">
        <f>IF($AY5,INDEX(PkgTable,$CA5,MATCH(AC$2,PkgTblHdr,0)),"")</f>
        <v/>
      </c>
      <c r="AD5" s="23" t="str">
        <f>IF($AY5,INDEX(PkgTable,$CA5,MATCH(AD$2,PkgTblHdr,0)),"")</f>
        <v/>
      </c>
      <c r="AE5" s="23" t="str">
        <f>IF($AY5,INDEX(PkgTable,$CA5,MATCH(AE$2,PkgTblHdr,0)),"")</f>
        <v/>
      </c>
      <c r="AF5" s="23"/>
      <c r="AG5" s="23" t="str">
        <f t="shared" si="4"/>
        <v>=0.001mm</v>
      </c>
      <c r="AH5" s="23" t="str">
        <f t="shared" si="4"/>
        <v>=0.001mm</v>
      </c>
      <c r="AI5" s="23" t="str">
        <f t="shared" si="4"/>
        <v>=8.16814089933346mm</v>
      </c>
      <c r="AJ5" s="23" t="str">
        <f t="shared" si="4"/>
        <v>=0.84mm</v>
      </c>
      <c r="AK5" s="23" t="str">
        <f t="shared" si="23"/>
        <v/>
      </c>
      <c r="AL5" s="23" t="str">
        <f t="shared" si="5"/>
        <v/>
      </c>
      <c r="AM5" s="23" t="str">
        <f t="shared" si="5"/>
        <v/>
      </c>
      <c r="AN5" s="23" t="str">
        <f t="shared" si="6"/>
        <v>=0.7mm</v>
      </c>
      <c r="AO5" s="23" t="str">
        <f t="shared" si="6"/>
        <v>=0.1mm</v>
      </c>
      <c r="AP5" s="24"/>
      <c r="AQ5" s="24"/>
      <c r="AR5" s="24"/>
      <c r="AS5" s="24"/>
      <c r="AT5" s="24"/>
      <c r="AU5" s="24"/>
      <c r="AV5" s="24"/>
      <c r="AW5" s="26"/>
      <c r="AX5" s="43"/>
      <c r="AY5" s="26" t="b">
        <f t="shared" si="24"/>
        <v>0</v>
      </c>
      <c r="AZ5" s="26" t="str">
        <f t="shared" si="7"/>
        <v>DO-41</v>
      </c>
      <c r="BA5" s="25">
        <f t="shared" si="8"/>
        <v>300</v>
      </c>
      <c r="BB5" s="27">
        <f t="shared" si="8"/>
        <v>100</v>
      </c>
      <c r="BC5" s="25">
        <f t="shared" si="25"/>
        <v>500</v>
      </c>
      <c r="BD5" s="28">
        <f t="shared" si="9"/>
        <v>1</v>
      </c>
      <c r="BE5" s="28">
        <f t="shared" si="9"/>
        <v>0</v>
      </c>
      <c r="BF5" s="28">
        <f t="shared" si="26"/>
        <v>1</v>
      </c>
      <c r="BG5" s="25" t="str">
        <f t="shared" si="10"/>
        <v xml:space="preserve">AXIAL-0.5 </v>
      </c>
      <c r="BH5" s="25" t="str">
        <f t="shared" si="27"/>
        <v/>
      </c>
      <c r="BI5" s="23">
        <f t="shared" si="11"/>
        <v>2.6</v>
      </c>
      <c r="BJ5" s="23">
        <f t="shared" si="11"/>
        <v>26</v>
      </c>
      <c r="BK5" s="23">
        <f t="shared" si="11"/>
        <v>1</v>
      </c>
      <c r="BL5" s="23">
        <f t="shared" si="11"/>
        <v>0.65</v>
      </c>
      <c r="BM5" s="23">
        <f t="shared" si="11"/>
        <v>4.0999999999999996</v>
      </c>
      <c r="BN5" s="23">
        <f t="shared" si="11"/>
        <v>0.7</v>
      </c>
      <c r="BO5" s="23">
        <f t="shared" si="11"/>
        <v>0.9</v>
      </c>
      <c r="BP5" s="23">
        <f t="shared" si="11"/>
        <v>1</v>
      </c>
      <c r="BQ5" s="23">
        <f t="shared" si="11"/>
        <v>0.7</v>
      </c>
      <c r="BR5" s="23">
        <f t="shared" si="11"/>
        <v>1E-3</v>
      </c>
      <c r="BS5" s="23">
        <f t="shared" si="11"/>
        <v>1E-3</v>
      </c>
      <c r="BT5" s="23">
        <f t="shared" si="11"/>
        <v>0.1</v>
      </c>
      <c r="BU5" s="23">
        <f t="shared" si="11"/>
        <v>2</v>
      </c>
      <c r="BV5" s="23">
        <f t="shared" si="11"/>
        <v>7.62</v>
      </c>
      <c r="BW5" s="23">
        <f t="shared" si="11"/>
        <v>8.1681408993334621</v>
      </c>
      <c r="BX5" s="23">
        <f t="shared" si="11"/>
        <v>0.84</v>
      </c>
      <c r="BY5" s="23">
        <f t="shared" si="12"/>
        <v>17.760531085492286</v>
      </c>
      <c r="BZ5" s="23">
        <f t="shared" si="11"/>
        <v>0.1</v>
      </c>
      <c r="CA5" s="26">
        <f>MATCH($AZ5,'Package Dimensions'!$B:$B,0)-2</f>
        <v>1</v>
      </c>
      <c r="CB5" s="26">
        <f t="shared" si="28"/>
        <v>3</v>
      </c>
      <c r="CC5" s="26">
        <f t="shared" si="29"/>
        <v>3</v>
      </c>
      <c r="CD5" s="26">
        <f t="shared" si="13"/>
        <v>3</v>
      </c>
      <c r="CE5" s="26">
        <f t="shared" si="13"/>
        <v>1</v>
      </c>
      <c r="CF5" s="26">
        <f t="shared" si="14"/>
        <v>3</v>
      </c>
      <c r="CG5" s="26">
        <f t="shared" si="15"/>
        <v>1</v>
      </c>
      <c r="CH5" s="26">
        <f t="shared" si="30"/>
        <v>3</v>
      </c>
      <c r="CI5" s="28"/>
      <c r="CJ5" s="29"/>
      <c r="CK5" s="45">
        <f t="array" ref="CK5">IFERROR(MATCH(FALSE,$A5:$AX5=Sheet1!$A5:$AX5,0),0)</f>
        <v>0</v>
      </c>
      <c r="CL5" s="37"/>
    </row>
    <row r="6" spans="1:92">
      <c r="A6" s="22" t="s">
        <v>23</v>
      </c>
      <c r="B6" s="23" t="str">
        <f t="shared" si="17"/>
        <v>DO-201AD AXIAL-0.6 Plastic</v>
      </c>
      <c r="C6" s="23" t="str">
        <f t="shared" si="18"/>
        <v>$C</v>
      </c>
      <c r="D6" s="23">
        <f t="shared" si="0"/>
        <v>328965</v>
      </c>
      <c r="E6" s="23" t="str">
        <f t="shared" si="1"/>
        <v>=5.3mm</v>
      </c>
      <c r="F6" s="23" t="str">
        <f t="shared" si="1"/>
        <v>=25.4mm</v>
      </c>
      <c r="G6" s="23" t="str">
        <f t="shared" si="19"/>
        <v>=1mm</v>
      </c>
      <c r="H6" s="23" t="str">
        <f t="shared" si="2"/>
        <v>=0.0828125mm</v>
      </c>
      <c r="I6" s="23" t="str">
        <f t="shared" si="2"/>
        <v>=9.5mm</v>
      </c>
      <c r="J6" s="23" t="str">
        <f t="shared" si="2"/>
        <v>=1.3mm</v>
      </c>
      <c r="K6" s="23" t="str">
        <f t="shared" si="2"/>
        <v>=1.8mm</v>
      </c>
      <c r="L6" s="23" t="str">
        <f t="shared" si="2"/>
        <v>=2mm</v>
      </c>
      <c r="M6" s="23" t="str">
        <f t="shared" si="2"/>
        <v>=0.001mm</v>
      </c>
      <c r="N6" s="23" t="str">
        <f t="shared" si="2"/>
        <v>=2mm</v>
      </c>
      <c r="O6" s="23" t="str">
        <f t="shared" si="20"/>
        <v>=15.24mm</v>
      </c>
      <c r="P6" s="23" t="str">
        <f t="shared" si="3"/>
        <v>SOLIDWORKS Materials:PUR</v>
      </c>
      <c r="Q6" s="26"/>
      <c r="R6" s="25" t="str">
        <f t="shared" si="22"/>
        <v xml:space="preserve">AXIAL-0.6 </v>
      </c>
      <c r="S6" s="23" t="str">
        <f>IF($AY6,INDEX(PkgTable,$CA6,MATCH(S$2,PkgTblHdr,0)),"")</f>
        <v>S</v>
      </c>
      <c r="T6" s="23" t="str">
        <f>IF($AY6,INDEX(PkgTable,$CA6,MATCH(T$2,PkgTblHdr,0)),"")</f>
        <v>S</v>
      </c>
      <c r="U6" s="23" t="str">
        <f>IF($AY6,INDEX(PkgTable,$CA6,MATCH(U$2,PkgTblHdr,0)),"")</f>
        <v>S</v>
      </c>
      <c r="V6" s="23" t="str">
        <f>IF($AY6,INDEX(PkgTable,$CA6,MATCH(V$2,PkgTblHdr,0)),"")</f>
        <v>U</v>
      </c>
      <c r="W6" s="23" t="str">
        <f>IF($AY6,INDEX(PkgTable,$CA6,MATCH(W$2,PkgTblHdr,0)),"")</f>
        <v>U</v>
      </c>
      <c r="X6" s="23" t="str">
        <f>IF($AY6,INDEX(PkgTable,$CA6,MATCH(X$2,PkgTblHdr,0)),"")</f>
        <v>U</v>
      </c>
      <c r="Y6" s="23" t="str">
        <f>IF($AY6,INDEX(PkgTable,$CA6,MATCH(Y$2,PkgTblHdr,0)),"")</f>
        <v>S</v>
      </c>
      <c r="Z6" s="23" t="str">
        <f>IF($AY6,INDEX(PkgTable,$CA6,MATCH(Z$2,PkgTblHdr,0)),"")</f>
        <v>U</v>
      </c>
      <c r="AA6" s="23" t="str">
        <f>IF($AY6,INDEX(PkgTable,$CA6,MATCH(AA$2,PkgTblHdr,0)),"")</f>
        <v>S</v>
      </c>
      <c r="AB6" s="23" t="str">
        <f>IF($AY6,INDEX(PkgTable,$CA6,MATCH(AB$2,PkgTblHdr,0)),"")</f>
        <v>U</v>
      </c>
      <c r="AC6" s="23" t="str">
        <f>IF($AY6,INDEX(PkgTable,$CA6,MATCH(AC$2,PkgTblHdr,0)),"")</f>
        <v>U</v>
      </c>
      <c r="AD6" s="23" t="str">
        <f>IF($AY6,INDEX(PkgTable,$CA6,MATCH(AD$2,PkgTblHdr,0)),"")</f>
        <v>U</v>
      </c>
      <c r="AE6" s="23" t="str">
        <f>IF($AY6,INDEX(PkgTable,$CA6,MATCH(AE$2,PkgTblHdr,0)),"")</f>
        <v>U</v>
      </c>
      <c r="AF6" s="23" t="s">
        <v>17</v>
      </c>
      <c r="AG6" s="23" t="str">
        <f t="shared" si="4"/>
        <v>=0.4mm</v>
      </c>
      <c r="AH6" s="23" t="str">
        <f t="shared" si="4"/>
        <v>=0.4mm</v>
      </c>
      <c r="AI6" s="23" t="str">
        <f t="shared" si="4"/>
        <v>=16.6504410640259mm</v>
      </c>
      <c r="AJ6" s="23" t="str">
        <f t="shared" si="4"/>
        <v>=1.56mm</v>
      </c>
      <c r="AK6" s="23" t="str">
        <f t="shared" si="23"/>
        <v>U</v>
      </c>
      <c r="AL6" s="23" t="str">
        <f t="shared" si="5"/>
        <v>U</v>
      </c>
      <c r="AM6" s="23" t="str">
        <f t="shared" si="5"/>
        <v>U</v>
      </c>
      <c r="AN6" s="23" t="str">
        <f t="shared" si="6"/>
        <v>=0.7mm</v>
      </c>
      <c r="AO6" s="23" t="str">
        <f t="shared" si="6"/>
        <v>=0.1mm</v>
      </c>
      <c r="AP6" s="23"/>
      <c r="AQ6" s="23"/>
      <c r="AR6" s="23"/>
      <c r="AS6" s="23"/>
      <c r="AT6" s="23"/>
      <c r="AU6" s="23"/>
      <c r="AV6" s="23"/>
      <c r="AW6" s="26"/>
      <c r="AX6" s="43"/>
      <c r="AY6" s="26" t="b">
        <f t="shared" si="24"/>
        <v>1</v>
      </c>
      <c r="AZ6" s="26" t="str">
        <f t="shared" si="7"/>
        <v>DO-201AD</v>
      </c>
      <c r="BA6" s="25">
        <f t="shared" si="8"/>
        <v>600</v>
      </c>
      <c r="BB6" s="27">
        <f t="shared" si="8"/>
        <v>100</v>
      </c>
      <c r="BC6" s="25">
        <f t="shared" si="25"/>
        <v>600</v>
      </c>
      <c r="BD6" s="28">
        <f t="shared" si="9"/>
        <v>1</v>
      </c>
      <c r="BE6" s="28">
        <f t="shared" si="9"/>
        <v>0</v>
      </c>
      <c r="BF6" s="28">
        <f t="shared" si="26"/>
        <v>1</v>
      </c>
      <c r="BG6" s="25" t="str">
        <f t="shared" si="10"/>
        <v xml:space="preserve">AXIAL-0.6 </v>
      </c>
      <c r="BH6" s="25" t="str">
        <f t="shared" si="27"/>
        <v/>
      </c>
      <c r="BI6" s="23">
        <f t="shared" si="11"/>
        <v>5.3</v>
      </c>
      <c r="BJ6" s="23">
        <f t="shared" si="11"/>
        <v>25.4</v>
      </c>
      <c r="BK6" s="23">
        <f t="shared" si="11"/>
        <v>1</v>
      </c>
      <c r="BL6" s="23">
        <f t="shared" si="11"/>
        <v>8.2812499999999997E-2</v>
      </c>
      <c r="BM6" s="23">
        <f t="shared" si="11"/>
        <v>9.5</v>
      </c>
      <c r="BN6" s="23">
        <f t="shared" si="11"/>
        <v>1.3</v>
      </c>
      <c r="BO6" s="23">
        <f t="shared" si="11"/>
        <v>1.8</v>
      </c>
      <c r="BP6" s="23">
        <f t="shared" si="11"/>
        <v>2</v>
      </c>
      <c r="BQ6" s="23">
        <f t="shared" si="11"/>
        <v>0.7</v>
      </c>
      <c r="BR6" s="23">
        <f t="shared" si="11"/>
        <v>0.4</v>
      </c>
      <c r="BS6" s="23">
        <f t="shared" si="11"/>
        <v>0.4</v>
      </c>
      <c r="BT6" s="23">
        <f t="shared" si="11"/>
        <v>1E-3</v>
      </c>
      <c r="BU6" s="23">
        <f t="shared" si="11"/>
        <v>2</v>
      </c>
      <c r="BV6" s="23">
        <f t="shared" si="11"/>
        <v>15.24</v>
      </c>
      <c r="BW6" s="23">
        <f t="shared" si="11"/>
        <v>16.650441064025902</v>
      </c>
      <c r="BX6" s="23">
        <f t="shared" si="11"/>
        <v>1.56</v>
      </c>
      <c r="BY6" s="23">
        <f t="shared" si="12"/>
        <v>17.549557730199961</v>
      </c>
      <c r="BZ6" s="23">
        <f t="shared" si="11"/>
        <v>0.1</v>
      </c>
      <c r="CA6" s="26">
        <f>MATCH($AZ6,'Package Dimensions'!$B:$B,0)-2</f>
        <v>2</v>
      </c>
      <c r="CB6" s="26">
        <f t="shared" si="28"/>
        <v>3</v>
      </c>
      <c r="CC6" s="26">
        <f t="shared" si="29"/>
        <v>1</v>
      </c>
      <c r="CD6" s="26">
        <f t="shared" si="13"/>
        <v>3</v>
      </c>
      <c r="CE6" s="26">
        <f t="shared" si="13"/>
        <v>1</v>
      </c>
      <c r="CF6" s="26">
        <f t="shared" si="14"/>
        <v>1</v>
      </c>
      <c r="CG6" s="26">
        <f t="shared" si="15"/>
        <v>1</v>
      </c>
      <c r="CH6" s="26">
        <f t="shared" si="30"/>
        <v>3</v>
      </c>
      <c r="CI6" s="28"/>
      <c r="CJ6" s="29"/>
      <c r="CK6" s="45">
        <f t="array" ref="CK6">IFERROR(MATCH(FALSE,$A6:$AX6=Sheet1!$A6:$AX6,0),0)</f>
        <v>0</v>
      </c>
      <c r="CL6" s="37"/>
    </row>
    <row r="7" spans="1:92">
      <c r="A7" s="22" t="str">
        <f t="shared" ref="A7:A8" si="31">TRIM($AZ7&amp;" "&amp;$BG7&amp;$BH7)</f>
        <v>DO-201AD AXIAL-0.7</v>
      </c>
      <c r="B7" s="23" t="str">
        <f t="shared" si="17"/>
        <v>DO-201AD AXIAL-0.7 Plastic</v>
      </c>
      <c r="C7" s="23" t="str">
        <f t="shared" si="18"/>
        <v>$P</v>
      </c>
      <c r="D7" s="23">
        <f t="shared" si="0"/>
        <v>328965</v>
      </c>
      <c r="E7" s="23" t="str">
        <f t="shared" si="1"/>
        <v>=5.3mm</v>
      </c>
      <c r="F7" s="23" t="str">
        <f t="shared" si="1"/>
        <v>=25.4mm</v>
      </c>
      <c r="G7" s="23" t="str">
        <f t="shared" si="19"/>
        <v>=1mm</v>
      </c>
      <c r="H7" s="23" t="str">
        <f t="shared" si="2"/>
        <v>=0.0828125mm</v>
      </c>
      <c r="I7" s="23" t="str">
        <f t="shared" si="2"/>
        <v>=9.5mm</v>
      </c>
      <c r="J7" s="23" t="str">
        <f t="shared" si="2"/>
        <v>=1.3mm</v>
      </c>
      <c r="K7" s="23" t="str">
        <f t="shared" si="2"/>
        <v>=1.8mm</v>
      </c>
      <c r="L7" s="23" t="str">
        <f t="shared" si="2"/>
        <v>=2mm</v>
      </c>
      <c r="M7" s="23" t="str">
        <f t="shared" si="2"/>
        <v>=0.001mm</v>
      </c>
      <c r="N7" s="23" t="str">
        <f t="shared" si="2"/>
        <v>=2mm</v>
      </c>
      <c r="O7" s="23" t="str">
        <f t="shared" si="20"/>
        <v>=17.78mm</v>
      </c>
      <c r="P7" s="23" t="str">
        <f t="shared" si="3"/>
        <v>SOLIDWORKS Materials:PUR</v>
      </c>
      <c r="Q7" s="26" t="str">
        <f t="shared" si="21"/>
        <v>DO-201AD</v>
      </c>
      <c r="R7" s="25" t="str">
        <f t="shared" si="22"/>
        <v xml:space="preserve">AXIAL-0.7 </v>
      </c>
      <c r="S7" s="23" t="str">
        <f>IF($AY7,INDEX(PkgTable,$CA7,MATCH(S$2,PkgTblHdr,0)),"")</f>
        <v/>
      </c>
      <c r="T7" s="23" t="str">
        <f>IF($AY7,INDEX(PkgTable,$CA7,MATCH(T$2,PkgTblHdr,0)),"")</f>
        <v/>
      </c>
      <c r="U7" s="23" t="str">
        <f>IF($AY7,INDEX(PkgTable,$CA7,MATCH(U$2,PkgTblHdr,0)),"")</f>
        <v/>
      </c>
      <c r="V7" s="23" t="str">
        <f>IF($AY7,INDEX(PkgTable,$CA7,MATCH(V$2,PkgTblHdr,0)),"")</f>
        <v/>
      </c>
      <c r="W7" s="23" t="str">
        <f>IF($AY7,INDEX(PkgTable,$CA7,MATCH(W$2,PkgTblHdr,0)),"")</f>
        <v/>
      </c>
      <c r="X7" s="23" t="str">
        <f>IF($AY7,INDEX(PkgTable,$CA7,MATCH(X$2,PkgTblHdr,0)),"")</f>
        <v/>
      </c>
      <c r="Y7" s="23" t="str">
        <f>IF($AY7,INDEX(PkgTable,$CA7,MATCH(Y$2,PkgTblHdr,0)),"")</f>
        <v/>
      </c>
      <c r="Z7" s="23" t="str">
        <f>IF($AY7,INDEX(PkgTable,$CA7,MATCH(Z$2,PkgTblHdr,0)),"")</f>
        <v/>
      </c>
      <c r="AA7" s="23" t="str">
        <f>IF($AY7,INDEX(PkgTable,$CA7,MATCH(AA$2,PkgTblHdr,0)),"")</f>
        <v/>
      </c>
      <c r="AB7" s="23" t="str">
        <f>IF($AY7,INDEX(PkgTable,$CA7,MATCH(AB$2,PkgTblHdr,0)),"")</f>
        <v/>
      </c>
      <c r="AC7" s="23" t="str">
        <f>IF($AY7,INDEX(PkgTable,$CA7,MATCH(AC$2,PkgTblHdr,0)),"")</f>
        <v/>
      </c>
      <c r="AD7" s="23" t="str">
        <f>IF($AY7,INDEX(PkgTable,$CA7,MATCH(AD$2,PkgTblHdr,0)),"")</f>
        <v/>
      </c>
      <c r="AE7" s="23" t="str">
        <f>IF($AY7,INDEX(PkgTable,$CA7,MATCH(AE$2,PkgTblHdr,0)),"")</f>
        <v/>
      </c>
      <c r="AF7" s="23"/>
      <c r="AG7" s="23" t="str">
        <f t="shared" si="4"/>
        <v>=0.4mm</v>
      </c>
      <c r="AH7" s="23" t="str">
        <f t="shared" si="4"/>
        <v>=0.4mm</v>
      </c>
      <c r="AI7" s="23" t="str">
        <f t="shared" si="4"/>
        <v>=16.6504410640259mm</v>
      </c>
      <c r="AJ7" s="23" t="str">
        <f t="shared" si="4"/>
        <v>=1.56mm</v>
      </c>
      <c r="AK7" s="23" t="str">
        <f t="shared" si="23"/>
        <v/>
      </c>
      <c r="AL7" s="23" t="str">
        <f t="shared" si="5"/>
        <v/>
      </c>
      <c r="AM7" s="23" t="str">
        <f t="shared" si="5"/>
        <v/>
      </c>
      <c r="AN7" s="23" t="str">
        <f t="shared" si="6"/>
        <v>=0.7mm</v>
      </c>
      <c r="AO7" s="23" t="str">
        <f t="shared" si="6"/>
        <v>=0.1mm</v>
      </c>
      <c r="AP7" s="24"/>
      <c r="AQ7" s="24"/>
      <c r="AR7" s="24"/>
      <c r="AS7" s="24"/>
      <c r="AT7" s="24"/>
      <c r="AU7" s="24"/>
      <c r="AV7" s="24"/>
      <c r="AW7" s="26"/>
      <c r="AX7" s="43"/>
      <c r="AY7" s="26" t="b">
        <f t="shared" si="24"/>
        <v>0</v>
      </c>
      <c r="AZ7" s="26" t="str">
        <f t="shared" si="7"/>
        <v>DO-201AD</v>
      </c>
      <c r="BA7" s="25">
        <f t="shared" si="8"/>
        <v>600</v>
      </c>
      <c r="BB7" s="27">
        <f t="shared" si="8"/>
        <v>100</v>
      </c>
      <c r="BC7" s="25">
        <f t="shared" si="25"/>
        <v>700</v>
      </c>
      <c r="BD7" s="28">
        <f t="shared" si="9"/>
        <v>1</v>
      </c>
      <c r="BE7" s="28">
        <f t="shared" si="9"/>
        <v>0</v>
      </c>
      <c r="BF7" s="28">
        <f t="shared" si="26"/>
        <v>1</v>
      </c>
      <c r="BG7" s="25" t="str">
        <f t="shared" si="10"/>
        <v xml:space="preserve">AXIAL-0.7 </v>
      </c>
      <c r="BH7" s="25" t="str">
        <f t="shared" si="27"/>
        <v/>
      </c>
      <c r="BI7" s="23">
        <f t="shared" si="11"/>
        <v>5.3</v>
      </c>
      <c r="BJ7" s="23">
        <f t="shared" si="11"/>
        <v>25.4</v>
      </c>
      <c r="BK7" s="23">
        <f t="shared" si="11"/>
        <v>1</v>
      </c>
      <c r="BL7" s="23">
        <f t="shared" si="11"/>
        <v>8.2812499999999997E-2</v>
      </c>
      <c r="BM7" s="23">
        <f t="shared" si="11"/>
        <v>9.5</v>
      </c>
      <c r="BN7" s="23">
        <f t="shared" si="11"/>
        <v>1.3</v>
      </c>
      <c r="BO7" s="23">
        <f t="shared" si="11"/>
        <v>1.8</v>
      </c>
      <c r="BP7" s="23">
        <f t="shared" si="11"/>
        <v>2</v>
      </c>
      <c r="BQ7" s="23">
        <f t="shared" si="11"/>
        <v>0.7</v>
      </c>
      <c r="BR7" s="23">
        <f t="shared" si="11"/>
        <v>0.4</v>
      </c>
      <c r="BS7" s="23">
        <f t="shared" si="11"/>
        <v>0.4</v>
      </c>
      <c r="BT7" s="23">
        <f t="shared" si="11"/>
        <v>1E-3</v>
      </c>
      <c r="BU7" s="23">
        <f t="shared" si="11"/>
        <v>2</v>
      </c>
      <c r="BV7" s="23">
        <f t="shared" si="11"/>
        <v>15.24</v>
      </c>
      <c r="BW7" s="23">
        <f t="shared" si="11"/>
        <v>16.650441064025902</v>
      </c>
      <c r="BX7" s="23">
        <f t="shared" si="11"/>
        <v>1.56</v>
      </c>
      <c r="BY7" s="23">
        <f t="shared" si="12"/>
        <v>16.279557730199961</v>
      </c>
      <c r="BZ7" s="23">
        <f t="shared" si="11"/>
        <v>0.1</v>
      </c>
      <c r="CA7" s="26">
        <f>MATCH($AZ7,'Package Dimensions'!$B:$B,0)-2</f>
        <v>2</v>
      </c>
      <c r="CB7" s="26">
        <f t="shared" si="28"/>
        <v>3</v>
      </c>
      <c r="CC7" s="26">
        <f t="shared" si="29"/>
        <v>2</v>
      </c>
      <c r="CD7" s="26">
        <f t="shared" si="13"/>
        <v>3</v>
      </c>
      <c r="CE7" s="26">
        <f t="shared" si="13"/>
        <v>1</v>
      </c>
      <c r="CF7" s="26">
        <f t="shared" si="14"/>
        <v>2</v>
      </c>
      <c r="CG7" s="26">
        <f t="shared" si="15"/>
        <v>1</v>
      </c>
      <c r="CH7" s="26">
        <f t="shared" si="30"/>
        <v>3</v>
      </c>
      <c r="CI7" s="28"/>
      <c r="CJ7" s="29"/>
      <c r="CK7" s="45">
        <f t="array" ref="CK7">IFERROR(MATCH(FALSE,$A7:$AX7=Sheet1!$A7:$AX7,0),0)</f>
        <v>0</v>
      </c>
      <c r="CL7" s="37"/>
    </row>
    <row r="8" spans="1:92">
      <c r="A8" s="22" t="str">
        <f t="shared" si="31"/>
        <v>DO-201AD AXIAL-0.8</v>
      </c>
      <c r="B8" s="23" t="str">
        <f t="shared" si="17"/>
        <v>DO-201AD AXIAL-0.8 Plastic</v>
      </c>
      <c r="C8" s="23" t="str">
        <f t="shared" si="18"/>
        <v>$P</v>
      </c>
      <c r="D8" s="23">
        <f t="shared" si="0"/>
        <v>328965</v>
      </c>
      <c r="E8" s="23" t="str">
        <f t="shared" si="1"/>
        <v>=5.3mm</v>
      </c>
      <c r="F8" s="23" t="str">
        <f t="shared" si="1"/>
        <v>=25.4mm</v>
      </c>
      <c r="G8" s="23" t="str">
        <f t="shared" si="19"/>
        <v>=1mm</v>
      </c>
      <c r="H8" s="23" t="str">
        <f t="shared" si="2"/>
        <v>=0.0828125mm</v>
      </c>
      <c r="I8" s="23" t="str">
        <f t="shared" si="2"/>
        <v>=9.5mm</v>
      </c>
      <c r="J8" s="23" t="str">
        <f t="shared" si="2"/>
        <v>=1.3mm</v>
      </c>
      <c r="K8" s="23" t="str">
        <f t="shared" si="2"/>
        <v>=1.8mm</v>
      </c>
      <c r="L8" s="23" t="str">
        <f t="shared" si="2"/>
        <v>=2mm</v>
      </c>
      <c r="M8" s="23" t="str">
        <f t="shared" si="2"/>
        <v>=0.001mm</v>
      </c>
      <c r="N8" s="23" t="str">
        <f t="shared" si="2"/>
        <v>=2mm</v>
      </c>
      <c r="O8" s="23" t="str">
        <f t="shared" si="20"/>
        <v>=20.32mm</v>
      </c>
      <c r="P8" s="23" t="str">
        <f t="shared" si="3"/>
        <v>SOLIDWORKS Materials:PUR</v>
      </c>
      <c r="Q8" s="26" t="str">
        <f t="shared" si="21"/>
        <v>DO-201AD</v>
      </c>
      <c r="R8" s="25" t="str">
        <f t="shared" si="22"/>
        <v xml:space="preserve">AXIAL-0.8 </v>
      </c>
      <c r="S8" s="23" t="str">
        <f>IF($AY8,INDEX(PkgTable,$CA8,MATCH(S$2,PkgTblHdr,0)),"")</f>
        <v/>
      </c>
      <c r="T8" s="23" t="str">
        <f>IF($AY8,INDEX(PkgTable,$CA8,MATCH(T$2,PkgTblHdr,0)),"")</f>
        <v/>
      </c>
      <c r="U8" s="23" t="str">
        <f>IF($AY8,INDEX(PkgTable,$CA8,MATCH(U$2,PkgTblHdr,0)),"")</f>
        <v/>
      </c>
      <c r="V8" s="23" t="str">
        <f>IF($AY8,INDEX(PkgTable,$CA8,MATCH(V$2,PkgTblHdr,0)),"")</f>
        <v/>
      </c>
      <c r="W8" s="23" t="str">
        <f>IF($AY8,INDEX(PkgTable,$CA8,MATCH(W$2,PkgTblHdr,0)),"")</f>
        <v/>
      </c>
      <c r="X8" s="23" t="str">
        <f>IF($AY8,INDEX(PkgTable,$CA8,MATCH(X$2,PkgTblHdr,0)),"")</f>
        <v/>
      </c>
      <c r="Y8" s="23" t="str">
        <f>IF($AY8,INDEX(PkgTable,$CA8,MATCH(Y$2,PkgTblHdr,0)),"")</f>
        <v/>
      </c>
      <c r="Z8" s="23" t="str">
        <f>IF($AY8,INDEX(PkgTable,$CA8,MATCH(Z$2,PkgTblHdr,0)),"")</f>
        <v/>
      </c>
      <c r="AA8" s="23" t="str">
        <f>IF($AY8,INDEX(PkgTable,$CA8,MATCH(AA$2,PkgTblHdr,0)),"")</f>
        <v/>
      </c>
      <c r="AB8" s="23" t="str">
        <f>IF($AY8,INDEX(PkgTable,$CA8,MATCH(AB$2,PkgTblHdr,0)),"")</f>
        <v/>
      </c>
      <c r="AC8" s="23" t="str">
        <f>IF($AY8,INDEX(PkgTable,$CA8,MATCH(AC$2,PkgTblHdr,0)),"")</f>
        <v/>
      </c>
      <c r="AD8" s="23" t="str">
        <f>IF($AY8,INDEX(PkgTable,$CA8,MATCH(AD$2,PkgTblHdr,0)),"")</f>
        <v/>
      </c>
      <c r="AE8" s="23" t="str">
        <f>IF($AY8,INDEX(PkgTable,$CA8,MATCH(AE$2,PkgTblHdr,0)),"")</f>
        <v/>
      </c>
      <c r="AF8" s="23"/>
      <c r="AG8" s="23" t="str">
        <f t="shared" si="4"/>
        <v>=0.4mm</v>
      </c>
      <c r="AH8" s="23" t="str">
        <f t="shared" si="4"/>
        <v>=0.4mm</v>
      </c>
      <c r="AI8" s="23" t="str">
        <f t="shared" si="4"/>
        <v>=16.6504410640259mm</v>
      </c>
      <c r="AJ8" s="23" t="str">
        <f t="shared" si="4"/>
        <v>=1.56mm</v>
      </c>
      <c r="AK8" s="23" t="str">
        <f t="shared" si="23"/>
        <v/>
      </c>
      <c r="AL8" s="23" t="str">
        <f t="shared" si="5"/>
        <v/>
      </c>
      <c r="AM8" s="23" t="str">
        <f t="shared" si="5"/>
        <v/>
      </c>
      <c r="AN8" s="23" t="str">
        <f t="shared" si="6"/>
        <v>=0.7mm</v>
      </c>
      <c r="AO8" s="23" t="str">
        <f t="shared" si="6"/>
        <v>=0.1mm</v>
      </c>
      <c r="AP8" s="24"/>
      <c r="AQ8" s="24"/>
      <c r="AR8" s="24"/>
      <c r="AS8" s="24"/>
      <c r="AT8" s="24"/>
      <c r="AU8" s="24"/>
      <c r="AV8" s="24"/>
      <c r="AW8" s="26"/>
      <c r="AX8" s="43"/>
      <c r="AY8" s="26" t="b">
        <f t="shared" si="24"/>
        <v>0</v>
      </c>
      <c r="AZ8" s="26" t="str">
        <f t="shared" si="7"/>
        <v>DO-201AD</v>
      </c>
      <c r="BA8" s="25">
        <f t="shared" si="8"/>
        <v>600</v>
      </c>
      <c r="BB8" s="27">
        <f t="shared" si="8"/>
        <v>100</v>
      </c>
      <c r="BC8" s="25">
        <f t="shared" si="25"/>
        <v>800</v>
      </c>
      <c r="BD8" s="28">
        <f t="shared" si="9"/>
        <v>1</v>
      </c>
      <c r="BE8" s="28">
        <f t="shared" si="9"/>
        <v>0</v>
      </c>
      <c r="BF8" s="28">
        <f t="shared" si="26"/>
        <v>1</v>
      </c>
      <c r="BG8" s="25" t="str">
        <f t="shared" si="10"/>
        <v xml:space="preserve">AXIAL-0.8 </v>
      </c>
      <c r="BH8" s="25" t="str">
        <f t="shared" si="27"/>
        <v/>
      </c>
      <c r="BI8" s="23">
        <f t="shared" si="11"/>
        <v>5.3</v>
      </c>
      <c r="BJ8" s="23">
        <f t="shared" si="11"/>
        <v>25.4</v>
      </c>
      <c r="BK8" s="23">
        <f t="shared" si="11"/>
        <v>1</v>
      </c>
      <c r="BL8" s="23">
        <f t="shared" si="11"/>
        <v>8.2812499999999997E-2</v>
      </c>
      <c r="BM8" s="23">
        <f t="shared" si="11"/>
        <v>9.5</v>
      </c>
      <c r="BN8" s="23">
        <f t="shared" si="11"/>
        <v>1.3</v>
      </c>
      <c r="BO8" s="23">
        <f t="shared" si="11"/>
        <v>1.8</v>
      </c>
      <c r="BP8" s="23">
        <f t="shared" si="11"/>
        <v>2</v>
      </c>
      <c r="BQ8" s="23">
        <f t="shared" si="11"/>
        <v>0.7</v>
      </c>
      <c r="BR8" s="23">
        <f t="shared" si="11"/>
        <v>0.4</v>
      </c>
      <c r="BS8" s="23">
        <f t="shared" si="11"/>
        <v>0.4</v>
      </c>
      <c r="BT8" s="23">
        <f t="shared" si="11"/>
        <v>1E-3</v>
      </c>
      <c r="BU8" s="23">
        <f t="shared" si="11"/>
        <v>2</v>
      </c>
      <c r="BV8" s="23">
        <f t="shared" si="11"/>
        <v>15.24</v>
      </c>
      <c r="BW8" s="23">
        <f t="shared" si="11"/>
        <v>16.650441064025902</v>
      </c>
      <c r="BX8" s="23">
        <f t="shared" si="11"/>
        <v>1.56</v>
      </c>
      <c r="BY8" s="23">
        <f t="shared" si="12"/>
        <v>15.00955773019996</v>
      </c>
      <c r="BZ8" s="23">
        <f t="shared" si="11"/>
        <v>0.1</v>
      </c>
      <c r="CA8" s="26">
        <f>MATCH($AZ8,'Package Dimensions'!$B:$B,0)-2</f>
        <v>2</v>
      </c>
      <c r="CB8" s="26">
        <f t="shared" si="28"/>
        <v>3</v>
      </c>
      <c r="CC8" s="26">
        <f t="shared" si="29"/>
        <v>3</v>
      </c>
      <c r="CD8" s="26">
        <f t="shared" si="13"/>
        <v>3</v>
      </c>
      <c r="CE8" s="26">
        <f t="shared" si="13"/>
        <v>1</v>
      </c>
      <c r="CF8" s="26">
        <f t="shared" si="14"/>
        <v>3</v>
      </c>
      <c r="CG8" s="26">
        <f t="shared" si="15"/>
        <v>1</v>
      </c>
      <c r="CH8" s="26">
        <f t="shared" si="30"/>
        <v>3</v>
      </c>
      <c r="CI8" s="28"/>
      <c r="CJ8" s="29"/>
      <c r="CK8" s="45">
        <f t="array" ref="CK8">IFERROR(MATCH(FALSE,$A8:$AX8=Sheet1!$A8:$AX8,0),0)</f>
        <v>0</v>
      </c>
      <c r="CL8" s="37"/>
    </row>
    <row r="9" spans="1:92">
      <c r="A9" s="22" t="s">
        <v>24</v>
      </c>
      <c r="B9" s="23" t="str">
        <f t="shared" si="17"/>
        <v>017AA AXIAL-0.5 Plastic</v>
      </c>
      <c r="C9" s="23" t="str">
        <f t="shared" si="18"/>
        <v>$C</v>
      </c>
      <c r="D9" s="23">
        <f t="shared" si="0"/>
        <v>328965</v>
      </c>
      <c r="E9" s="23" t="str">
        <f t="shared" si="1"/>
        <v>=3.68mm</v>
      </c>
      <c r="F9" s="23" t="str">
        <f t="shared" si="1"/>
        <v>=25.4mm</v>
      </c>
      <c r="G9" s="23" t="str">
        <f t="shared" si="19"/>
        <v>=1mm</v>
      </c>
      <c r="H9" s="23" t="str">
        <f t="shared" si="2"/>
        <v>=0.0575mm</v>
      </c>
      <c r="I9" s="23" t="str">
        <f t="shared" si="2"/>
        <v>=8.89mm</v>
      </c>
      <c r="J9" s="23" t="str">
        <f t="shared" si="2"/>
        <v>=1.09mm</v>
      </c>
      <c r="K9" s="23" t="str">
        <f t="shared" si="2"/>
        <v>=1.5mm</v>
      </c>
      <c r="L9" s="23" t="str">
        <f t="shared" si="2"/>
        <v>=1.2mm</v>
      </c>
      <c r="M9" s="23" t="str">
        <f t="shared" si="2"/>
        <v>=0.001mm</v>
      </c>
      <c r="N9" s="23" t="str">
        <f t="shared" si="2"/>
        <v>=2mm</v>
      </c>
      <c r="O9" s="23" t="str">
        <f t="shared" si="20"/>
        <v>=12.7mm</v>
      </c>
      <c r="P9" s="23" t="str">
        <f t="shared" si="3"/>
        <v>SOLIDWORKS Materials:PUR</v>
      </c>
      <c r="Q9" s="26"/>
      <c r="R9" s="25" t="str">
        <f t="shared" si="22"/>
        <v xml:space="preserve">AXIAL-0.5 </v>
      </c>
      <c r="S9" s="23" t="str">
        <f>IF($AY9,INDEX(PkgTable,$CA9,MATCH(S$2,PkgTblHdr,0)),"")</f>
        <v>S</v>
      </c>
      <c r="T9" s="23" t="str">
        <f>IF($AY9,INDEX(PkgTable,$CA9,MATCH(T$2,PkgTblHdr,0)),"")</f>
        <v>S</v>
      </c>
      <c r="U9" s="23" t="str">
        <f>IF($AY9,INDEX(PkgTable,$CA9,MATCH(U$2,PkgTblHdr,0)),"")</f>
        <v>S</v>
      </c>
      <c r="V9" s="23" t="str">
        <f>IF($AY9,INDEX(PkgTable,$CA9,MATCH(V$2,PkgTblHdr,0)),"")</f>
        <v>U</v>
      </c>
      <c r="W9" s="23" t="str">
        <f>IF($AY9,INDEX(PkgTable,$CA9,MATCH(W$2,PkgTblHdr,0)),"")</f>
        <v>S</v>
      </c>
      <c r="X9" s="23" t="str">
        <f>IF($AY9,INDEX(PkgTable,$CA9,MATCH(X$2,PkgTblHdr,0)),"")</f>
        <v>U</v>
      </c>
      <c r="Y9" s="23" t="str">
        <f>IF($AY9,INDEX(PkgTable,$CA9,MATCH(Y$2,PkgTblHdr,0)),"")</f>
        <v>U</v>
      </c>
      <c r="Z9" s="23" t="str">
        <f>IF($AY9,INDEX(PkgTable,$CA9,MATCH(Z$2,PkgTblHdr,0)),"")</f>
        <v>U</v>
      </c>
      <c r="AA9" s="23" t="str">
        <f>IF($AY9,INDEX(PkgTable,$CA9,MATCH(AA$2,PkgTblHdr,0)),"")</f>
        <v>S</v>
      </c>
      <c r="AB9" s="23" t="str">
        <f>IF($AY9,INDEX(PkgTable,$CA9,MATCH(AB$2,PkgTblHdr,0)),"")</f>
        <v>U</v>
      </c>
      <c r="AC9" s="23" t="str">
        <f>IF($AY9,INDEX(PkgTable,$CA9,MATCH(AC$2,PkgTblHdr,0)),"")</f>
        <v>U</v>
      </c>
      <c r="AD9" s="23" t="str">
        <f>IF($AY9,INDEX(PkgTable,$CA9,MATCH(AD$2,PkgTblHdr,0)),"")</f>
        <v>U</v>
      </c>
      <c r="AE9" s="23" t="str">
        <f>IF($AY9,INDEX(PkgTable,$CA9,MATCH(AE$2,PkgTblHdr,0)),"")</f>
        <v>U</v>
      </c>
      <c r="AF9" s="23" t="s">
        <v>17</v>
      </c>
      <c r="AG9" s="23" t="str">
        <f t="shared" si="4"/>
        <v>=1mm</v>
      </c>
      <c r="AH9" s="23" t="str">
        <f t="shared" si="4"/>
        <v>=0.4mm</v>
      </c>
      <c r="AI9" s="23" t="str">
        <f t="shared" si="4"/>
        <v>=11.5610609652104mm</v>
      </c>
      <c r="AJ9" s="23" t="str">
        <f t="shared" si="4"/>
        <v>=1.308mm</v>
      </c>
      <c r="AK9" s="23" t="str">
        <f t="shared" si="23"/>
        <v>U</v>
      </c>
      <c r="AL9" s="23" t="str">
        <f t="shared" si="5"/>
        <v>U</v>
      </c>
      <c r="AM9" s="23" t="str">
        <f t="shared" si="5"/>
        <v>U</v>
      </c>
      <c r="AN9" s="23" t="str">
        <f t="shared" si="6"/>
        <v>=0.6mm</v>
      </c>
      <c r="AO9" s="23" t="str">
        <f t="shared" si="6"/>
        <v>=0.1mm</v>
      </c>
      <c r="AP9" s="23"/>
      <c r="AQ9" s="23"/>
      <c r="AR9" s="23"/>
      <c r="AS9" s="23"/>
      <c r="AT9" s="23"/>
      <c r="AU9" s="23"/>
      <c r="AV9" s="23"/>
      <c r="AW9" s="26"/>
      <c r="AX9" s="43"/>
      <c r="AY9" s="26" t="b">
        <f t="shared" si="24"/>
        <v>1</v>
      </c>
      <c r="AZ9" s="26" t="str">
        <f t="shared" si="7"/>
        <v>017AA</v>
      </c>
      <c r="BA9" s="25">
        <f t="shared" si="8"/>
        <v>500</v>
      </c>
      <c r="BB9" s="27">
        <f t="shared" si="8"/>
        <v>100</v>
      </c>
      <c r="BC9" s="25">
        <f t="shared" si="25"/>
        <v>500</v>
      </c>
      <c r="BD9" s="28">
        <f t="shared" si="9"/>
        <v>1</v>
      </c>
      <c r="BE9" s="28">
        <f t="shared" si="9"/>
        <v>0</v>
      </c>
      <c r="BF9" s="28">
        <f t="shared" si="26"/>
        <v>1</v>
      </c>
      <c r="BG9" s="25" t="str">
        <f t="shared" si="10"/>
        <v xml:space="preserve">AXIAL-0.5 </v>
      </c>
      <c r="BH9" s="25" t="str">
        <f t="shared" si="27"/>
        <v/>
      </c>
      <c r="BI9" s="23">
        <f t="shared" si="11"/>
        <v>3.68</v>
      </c>
      <c r="BJ9" s="23">
        <f t="shared" si="11"/>
        <v>25.4</v>
      </c>
      <c r="BK9" s="23">
        <f t="shared" si="11"/>
        <v>1</v>
      </c>
      <c r="BL9" s="23">
        <f t="shared" si="11"/>
        <v>5.7500000000000002E-2</v>
      </c>
      <c r="BM9" s="23">
        <f t="shared" si="11"/>
        <v>8.89</v>
      </c>
      <c r="BN9" s="23">
        <f t="shared" si="11"/>
        <v>1.0900000000000001</v>
      </c>
      <c r="BO9" s="23">
        <f t="shared" si="11"/>
        <v>1.5</v>
      </c>
      <c r="BP9" s="23">
        <f t="shared" si="11"/>
        <v>1.2</v>
      </c>
      <c r="BQ9" s="23">
        <f t="shared" si="11"/>
        <v>0.6</v>
      </c>
      <c r="BR9" s="23">
        <f t="shared" si="11"/>
        <v>1</v>
      </c>
      <c r="BS9" s="23">
        <f t="shared" si="11"/>
        <v>0.4</v>
      </c>
      <c r="BT9" s="23">
        <f t="shared" si="11"/>
        <v>1E-3</v>
      </c>
      <c r="BU9" s="23">
        <f t="shared" si="11"/>
        <v>2</v>
      </c>
      <c r="BV9" s="23">
        <f t="shared" si="11"/>
        <v>12.7</v>
      </c>
      <c r="BW9" s="23">
        <f t="shared" si="11"/>
        <v>11.561060965210439</v>
      </c>
      <c r="BX9" s="23">
        <f t="shared" si="11"/>
        <v>1.3080000000000001</v>
      </c>
      <c r="BY9" s="23">
        <f t="shared" si="12"/>
        <v>19.216398404552272</v>
      </c>
      <c r="BZ9" s="23">
        <f t="shared" si="11"/>
        <v>0.1</v>
      </c>
      <c r="CA9" s="26">
        <f>MATCH($AZ9,'Package Dimensions'!$B:$B,0)-2</f>
        <v>3</v>
      </c>
      <c r="CB9" s="26">
        <f t="shared" si="28"/>
        <v>4</v>
      </c>
      <c r="CC9" s="26">
        <f t="shared" si="29"/>
        <v>1</v>
      </c>
      <c r="CD9" s="26">
        <f t="shared" si="13"/>
        <v>4</v>
      </c>
      <c r="CE9" s="26">
        <f t="shared" si="13"/>
        <v>1</v>
      </c>
      <c r="CF9" s="26">
        <f t="shared" si="14"/>
        <v>1</v>
      </c>
      <c r="CG9" s="26">
        <f t="shared" si="15"/>
        <v>1</v>
      </c>
      <c r="CH9" s="26">
        <f t="shared" si="30"/>
        <v>4</v>
      </c>
      <c r="CI9" s="28"/>
      <c r="CJ9" s="29"/>
      <c r="CK9" s="45">
        <f t="array" ref="CK9">IFERROR(MATCH(FALSE,$A9:$AX9=Sheet1!$A9:$AX9,0),0)</f>
        <v>0</v>
      </c>
      <c r="CL9" s="37"/>
    </row>
    <row r="10" spans="1:92">
      <c r="A10" s="22" t="str">
        <f t="shared" ref="A10:A12" si="32">TRIM($AZ10&amp;" "&amp;$BG10&amp;$BH10)</f>
        <v>017AA AXIAL-0.6</v>
      </c>
      <c r="B10" s="23" t="str">
        <f t="shared" si="17"/>
        <v>017AA AXIAL-0.6 Plastic</v>
      </c>
      <c r="C10" s="23" t="str">
        <f t="shared" si="18"/>
        <v>$P</v>
      </c>
      <c r="D10" s="23">
        <f t="shared" si="0"/>
        <v>328965</v>
      </c>
      <c r="E10" s="23" t="str">
        <f t="shared" si="1"/>
        <v>=3.68mm</v>
      </c>
      <c r="F10" s="23" t="str">
        <f t="shared" si="1"/>
        <v>=25.4mm</v>
      </c>
      <c r="G10" s="23" t="str">
        <f t="shared" si="19"/>
        <v>=1mm</v>
      </c>
      <c r="H10" s="23" t="str">
        <f t="shared" si="2"/>
        <v>=0.0575mm</v>
      </c>
      <c r="I10" s="23" t="str">
        <f t="shared" si="2"/>
        <v>=8.89mm</v>
      </c>
      <c r="J10" s="23" t="str">
        <f t="shared" si="2"/>
        <v>=1.09mm</v>
      </c>
      <c r="K10" s="23" t="str">
        <f t="shared" si="2"/>
        <v>=1.5mm</v>
      </c>
      <c r="L10" s="23" t="str">
        <f t="shared" si="2"/>
        <v>=1.2mm</v>
      </c>
      <c r="M10" s="23" t="str">
        <f t="shared" si="2"/>
        <v>=0.001mm</v>
      </c>
      <c r="N10" s="23" t="str">
        <f t="shared" si="2"/>
        <v>=2mm</v>
      </c>
      <c r="O10" s="23" t="str">
        <f t="shared" si="20"/>
        <v>=15.24mm</v>
      </c>
      <c r="P10" s="23" t="str">
        <f t="shared" si="3"/>
        <v>SOLIDWORKS Materials:PUR</v>
      </c>
      <c r="Q10" s="26" t="str">
        <f t="shared" si="21"/>
        <v>017AA</v>
      </c>
      <c r="R10" s="25" t="str">
        <f t="shared" si="22"/>
        <v xml:space="preserve">AXIAL-0.6 </v>
      </c>
      <c r="S10" s="23" t="str">
        <f>IF($AY10,INDEX(PkgTable,$CA10,MATCH(S$2,PkgTblHdr,0)),"")</f>
        <v/>
      </c>
      <c r="T10" s="23" t="str">
        <f>IF($AY10,INDEX(PkgTable,$CA10,MATCH(T$2,PkgTblHdr,0)),"")</f>
        <v/>
      </c>
      <c r="U10" s="23" t="str">
        <f>IF($AY10,INDEX(PkgTable,$CA10,MATCH(U$2,PkgTblHdr,0)),"")</f>
        <v/>
      </c>
      <c r="V10" s="23" t="str">
        <f>IF($AY10,INDEX(PkgTable,$CA10,MATCH(V$2,PkgTblHdr,0)),"")</f>
        <v/>
      </c>
      <c r="W10" s="23" t="str">
        <f>IF($AY10,INDEX(PkgTable,$CA10,MATCH(W$2,PkgTblHdr,0)),"")</f>
        <v/>
      </c>
      <c r="X10" s="23" t="str">
        <f>IF($AY10,INDEX(PkgTable,$CA10,MATCH(X$2,PkgTblHdr,0)),"")</f>
        <v/>
      </c>
      <c r="Y10" s="23" t="str">
        <f>IF($AY10,INDEX(PkgTable,$CA10,MATCH(Y$2,PkgTblHdr,0)),"")</f>
        <v/>
      </c>
      <c r="Z10" s="23" t="str">
        <f>IF($AY10,INDEX(PkgTable,$CA10,MATCH(Z$2,PkgTblHdr,0)),"")</f>
        <v/>
      </c>
      <c r="AA10" s="23" t="str">
        <f>IF($AY10,INDEX(PkgTable,$CA10,MATCH(AA$2,PkgTblHdr,0)),"")</f>
        <v/>
      </c>
      <c r="AB10" s="23" t="str">
        <f>IF($AY10,INDEX(PkgTable,$CA10,MATCH(AB$2,PkgTblHdr,0)),"")</f>
        <v/>
      </c>
      <c r="AC10" s="23" t="str">
        <f>IF($AY10,INDEX(PkgTable,$CA10,MATCH(AC$2,PkgTblHdr,0)),"")</f>
        <v/>
      </c>
      <c r="AD10" s="23" t="str">
        <f>IF($AY10,INDEX(PkgTable,$CA10,MATCH(AD$2,PkgTblHdr,0)),"")</f>
        <v/>
      </c>
      <c r="AE10" s="23" t="str">
        <f>IF($AY10,INDEX(PkgTable,$CA10,MATCH(AE$2,PkgTblHdr,0)),"")</f>
        <v/>
      </c>
      <c r="AF10" s="23"/>
      <c r="AG10" s="23" t="str">
        <f t="shared" si="4"/>
        <v>=1mm</v>
      </c>
      <c r="AH10" s="23" t="str">
        <f t="shared" si="4"/>
        <v>=0.4mm</v>
      </c>
      <c r="AI10" s="23" t="str">
        <f t="shared" si="4"/>
        <v>=11.5610609652104mm</v>
      </c>
      <c r="AJ10" s="23" t="str">
        <f t="shared" si="4"/>
        <v>=1.308mm</v>
      </c>
      <c r="AK10" s="23" t="str">
        <f t="shared" si="23"/>
        <v/>
      </c>
      <c r="AL10" s="23" t="str">
        <f t="shared" si="5"/>
        <v/>
      </c>
      <c r="AM10" s="23" t="str">
        <f t="shared" si="5"/>
        <v/>
      </c>
      <c r="AN10" s="23" t="str">
        <f t="shared" si="6"/>
        <v>=0.6mm</v>
      </c>
      <c r="AO10" s="23" t="str">
        <f t="shared" si="6"/>
        <v>=0.1mm</v>
      </c>
      <c r="AP10" s="24"/>
      <c r="AQ10" s="24"/>
      <c r="AR10" s="24"/>
      <c r="AS10" s="24"/>
      <c r="AT10" s="24"/>
      <c r="AU10" s="24"/>
      <c r="AV10" s="24"/>
      <c r="AW10" s="26"/>
      <c r="AX10" s="43"/>
      <c r="AY10" s="26" t="b">
        <f t="shared" si="24"/>
        <v>0</v>
      </c>
      <c r="AZ10" s="26" t="str">
        <f t="shared" si="7"/>
        <v>017AA</v>
      </c>
      <c r="BA10" s="25">
        <f t="shared" si="8"/>
        <v>500</v>
      </c>
      <c r="BB10" s="27">
        <f t="shared" si="8"/>
        <v>100</v>
      </c>
      <c r="BC10" s="25">
        <f t="shared" si="25"/>
        <v>600</v>
      </c>
      <c r="BD10" s="28">
        <f t="shared" si="9"/>
        <v>1</v>
      </c>
      <c r="BE10" s="28">
        <f t="shared" si="9"/>
        <v>0</v>
      </c>
      <c r="BF10" s="28">
        <f t="shared" si="26"/>
        <v>1</v>
      </c>
      <c r="BG10" s="25" t="str">
        <f t="shared" si="10"/>
        <v xml:space="preserve">AXIAL-0.6 </v>
      </c>
      <c r="BH10" s="25" t="str">
        <f t="shared" si="27"/>
        <v/>
      </c>
      <c r="BI10" s="23">
        <f t="shared" si="11"/>
        <v>3.68</v>
      </c>
      <c r="BJ10" s="23">
        <f t="shared" si="11"/>
        <v>25.4</v>
      </c>
      <c r="BK10" s="23">
        <f t="shared" si="11"/>
        <v>1</v>
      </c>
      <c r="BL10" s="23">
        <f t="shared" si="11"/>
        <v>5.7500000000000002E-2</v>
      </c>
      <c r="BM10" s="23">
        <f t="shared" si="11"/>
        <v>8.89</v>
      </c>
      <c r="BN10" s="23">
        <f t="shared" si="11"/>
        <v>1.0900000000000001</v>
      </c>
      <c r="BO10" s="23">
        <f t="shared" si="11"/>
        <v>1.5</v>
      </c>
      <c r="BP10" s="23">
        <f t="shared" si="11"/>
        <v>1.2</v>
      </c>
      <c r="BQ10" s="23">
        <f t="shared" si="11"/>
        <v>0.6</v>
      </c>
      <c r="BR10" s="23">
        <f t="shared" si="11"/>
        <v>1</v>
      </c>
      <c r="BS10" s="23">
        <f t="shared" si="11"/>
        <v>0.4</v>
      </c>
      <c r="BT10" s="23">
        <f t="shared" si="11"/>
        <v>1E-3</v>
      </c>
      <c r="BU10" s="23">
        <f t="shared" si="11"/>
        <v>2</v>
      </c>
      <c r="BV10" s="23">
        <f t="shared" si="11"/>
        <v>12.7</v>
      </c>
      <c r="BW10" s="23">
        <f t="shared" si="11"/>
        <v>11.561060965210439</v>
      </c>
      <c r="BX10" s="23">
        <f t="shared" si="11"/>
        <v>1.3080000000000001</v>
      </c>
      <c r="BY10" s="23">
        <f t="shared" si="12"/>
        <v>17.946398404552273</v>
      </c>
      <c r="BZ10" s="23">
        <f t="shared" si="11"/>
        <v>0.1</v>
      </c>
      <c r="CA10" s="26">
        <f>MATCH($AZ10,'Package Dimensions'!$B:$B,0)-2</f>
        <v>3</v>
      </c>
      <c r="CB10" s="26">
        <f t="shared" si="28"/>
        <v>4</v>
      </c>
      <c r="CC10" s="26">
        <f t="shared" si="29"/>
        <v>2</v>
      </c>
      <c r="CD10" s="26">
        <f t="shared" si="13"/>
        <v>4</v>
      </c>
      <c r="CE10" s="26">
        <f t="shared" si="13"/>
        <v>1</v>
      </c>
      <c r="CF10" s="26">
        <f t="shared" si="14"/>
        <v>2</v>
      </c>
      <c r="CG10" s="26">
        <f t="shared" si="15"/>
        <v>1</v>
      </c>
      <c r="CH10" s="26">
        <f t="shared" si="30"/>
        <v>4</v>
      </c>
      <c r="CI10" s="28"/>
      <c r="CJ10" s="29"/>
      <c r="CK10" s="45">
        <f t="array" ref="CK10">IFERROR(MATCH(FALSE,$A10:$AX10=Sheet1!$A10:$AX10,0),0)</f>
        <v>0</v>
      </c>
      <c r="CL10" s="37"/>
    </row>
    <row r="11" spans="1:92">
      <c r="A11" s="22" t="str">
        <f t="shared" si="32"/>
        <v>017AA AXIAL-0.7</v>
      </c>
      <c r="B11" s="23" t="str">
        <f t="shared" si="17"/>
        <v>017AA AXIAL-0.7 Plastic</v>
      </c>
      <c r="C11" s="23" t="str">
        <f t="shared" si="18"/>
        <v>$P</v>
      </c>
      <c r="D11" s="23">
        <f t="shared" si="0"/>
        <v>328965</v>
      </c>
      <c r="E11" s="23" t="str">
        <f t="shared" si="1"/>
        <v>=3.68mm</v>
      </c>
      <c r="F11" s="23" t="str">
        <f t="shared" si="1"/>
        <v>=25.4mm</v>
      </c>
      <c r="G11" s="23" t="str">
        <f t="shared" si="19"/>
        <v>=1mm</v>
      </c>
      <c r="H11" s="23" t="str">
        <f t="shared" si="2"/>
        <v>=0.0575mm</v>
      </c>
      <c r="I11" s="23" t="str">
        <f t="shared" si="2"/>
        <v>=8.89mm</v>
      </c>
      <c r="J11" s="23" t="str">
        <f t="shared" si="2"/>
        <v>=1.09mm</v>
      </c>
      <c r="K11" s="23" t="str">
        <f t="shared" si="2"/>
        <v>=1.5mm</v>
      </c>
      <c r="L11" s="23" t="str">
        <f t="shared" si="2"/>
        <v>=1.2mm</v>
      </c>
      <c r="M11" s="23" t="str">
        <f t="shared" si="2"/>
        <v>=0.001mm</v>
      </c>
      <c r="N11" s="23" t="str">
        <f t="shared" si="2"/>
        <v>=2mm</v>
      </c>
      <c r="O11" s="23" t="str">
        <f t="shared" si="20"/>
        <v>=17.78mm</v>
      </c>
      <c r="P11" s="23" t="str">
        <f t="shared" si="3"/>
        <v>SOLIDWORKS Materials:PUR</v>
      </c>
      <c r="Q11" s="26" t="str">
        <f t="shared" si="21"/>
        <v>017AA</v>
      </c>
      <c r="R11" s="25" t="str">
        <f t="shared" si="22"/>
        <v xml:space="preserve">AXIAL-0.7 </v>
      </c>
      <c r="S11" s="23" t="str">
        <f>IF($AY11,INDEX(PkgTable,$CA11,MATCH(S$2,PkgTblHdr,0)),"")</f>
        <v/>
      </c>
      <c r="T11" s="23" t="str">
        <f>IF($AY11,INDEX(PkgTable,$CA11,MATCH(T$2,PkgTblHdr,0)),"")</f>
        <v/>
      </c>
      <c r="U11" s="23" t="str">
        <f>IF($AY11,INDEX(PkgTable,$CA11,MATCH(U$2,PkgTblHdr,0)),"")</f>
        <v/>
      </c>
      <c r="V11" s="23" t="str">
        <f>IF($AY11,INDEX(PkgTable,$CA11,MATCH(V$2,PkgTblHdr,0)),"")</f>
        <v/>
      </c>
      <c r="W11" s="23" t="str">
        <f>IF($AY11,INDEX(PkgTable,$CA11,MATCH(W$2,PkgTblHdr,0)),"")</f>
        <v/>
      </c>
      <c r="X11" s="23" t="str">
        <f>IF($AY11,INDEX(PkgTable,$CA11,MATCH(X$2,PkgTblHdr,0)),"")</f>
        <v/>
      </c>
      <c r="Y11" s="23" t="str">
        <f>IF($AY11,INDEX(PkgTable,$CA11,MATCH(Y$2,PkgTblHdr,0)),"")</f>
        <v/>
      </c>
      <c r="Z11" s="23" t="str">
        <f>IF($AY11,INDEX(PkgTable,$CA11,MATCH(Z$2,PkgTblHdr,0)),"")</f>
        <v/>
      </c>
      <c r="AA11" s="23" t="str">
        <f>IF($AY11,INDEX(PkgTable,$CA11,MATCH(AA$2,PkgTblHdr,0)),"")</f>
        <v/>
      </c>
      <c r="AB11" s="23" t="str">
        <f>IF($AY11,INDEX(PkgTable,$CA11,MATCH(AB$2,PkgTblHdr,0)),"")</f>
        <v/>
      </c>
      <c r="AC11" s="23" t="str">
        <f>IF($AY11,INDEX(PkgTable,$CA11,MATCH(AC$2,PkgTblHdr,0)),"")</f>
        <v/>
      </c>
      <c r="AD11" s="23" t="str">
        <f>IF($AY11,INDEX(PkgTable,$CA11,MATCH(AD$2,PkgTblHdr,0)),"")</f>
        <v/>
      </c>
      <c r="AE11" s="23" t="str">
        <f>IF($AY11,INDEX(PkgTable,$CA11,MATCH(AE$2,PkgTblHdr,0)),"")</f>
        <v/>
      </c>
      <c r="AF11" s="23"/>
      <c r="AG11" s="23" t="str">
        <f t="shared" si="4"/>
        <v>=1mm</v>
      </c>
      <c r="AH11" s="23" t="str">
        <f t="shared" si="4"/>
        <v>=0.4mm</v>
      </c>
      <c r="AI11" s="23" t="str">
        <f t="shared" si="4"/>
        <v>=11.5610609652104mm</v>
      </c>
      <c r="AJ11" s="23" t="str">
        <f t="shared" si="4"/>
        <v>=1.308mm</v>
      </c>
      <c r="AK11" s="23" t="str">
        <f t="shared" si="23"/>
        <v/>
      </c>
      <c r="AL11" s="23" t="str">
        <f t="shared" si="5"/>
        <v/>
      </c>
      <c r="AM11" s="23" t="str">
        <f t="shared" si="5"/>
        <v/>
      </c>
      <c r="AN11" s="23" t="str">
        <f t="shared" si="6"/>
        <v>=0.6mm</v>
      </c>
      <c r="AO11" s="23" t="str">
        <f t="shared" si="6"/>
        <v>=0.1mm</v>
      </c>
      <c r="AP11" s="24"/>
      <c r="AQ11" s="24"/>
      <c r="AR11" s="24"/>
      <c r="AS11" s="24"/>
      <c r="AT11" s="24"/>
      <c r="AU11" s="24"/>
      <c r="AV11" s="24"/>
      <c r="AW11" s="26"/>
      <c r="AX11" s="43"/>
      <c r="AY11" s="26" t="b">
        <f t="shared" si="24"/>
        <v>0</v>
      </c>
      <c r="AZ11" s="26" t="str">
        <f t="shared" si="7"/>
        <v>017AA</v>
      </c>
      <c r="BA11" s="25">
        <f t="shared" si="8"/>
        <v>500</v>
      </c>
      <c r="BB11" s="27">
        <f t="shared" si="8"/>
        <v>100</v>
      </c>
      <c r="BC11" s="25">
        <f t="shared" si="25"/>
        <v>700</v>
      </c>
      <c r="BD11" s="28">
        <f t="shared" si="9"/>
        <v>1</v>
      </c>
      <c r="BE11" s="28">
        <f t="shared" si="9"/>
        <v>0</v>
      </c>
      <c r="BF11" s="28">
        <f t="shared" si="26"/>
        <v>1</v>
      </c>
      <c r="BG11" s="25" t="str">
        <f t="shared" si="10"/>
        <v xml:space="preserve">AXIAL-0.7 </v>
      </c>
      <c r="BH11" s="25" t="str">
        <f t="shared" si="27"/>
        <v/>
      </c>
      <c r="BI11" s="23">
        <f t="shared" si="11"/>
        <v>3.68</v>
      </c>
      <c r="BJ11" s="23">
        <f t="shared" si="11"/>
        <v>25.4</v>
      </c>
      <c r="BK11" s="23">
        <f t="shared" si="11"/>
        <v>1</v>
      </c>
      <c r="BL11" s="23">
        <f t="shared" si="11"/>
        <v>5.7500000000000002E-2</v>
      </c>
      <c r="BM11" s="23">
        <f t="shared" si="11"/>
        <v>8.89</v>
      </c>
      <c r="BN11" s="23">
        <f t="shared" si="11"/>
        <v>1.0900000000000001</v>
      </c>
      <c r="BO11" s="23">
        <f t="shared" si="11"/>
        <v>1.5</v>
      </c>
      <c r="BP11" s="23">
        <f t="shared" si="11"/>
        <v>1.2</v>
      </c>
      <c r="BQ11" s="23">
        <f t="shared" si="11"/>
        <v>0.6</v>
      </c>
      <c r="BR11" s="23">
        <f t="shared" si="11"/>
        <v>1</v>
      </c>
      <c r="BS11" s="23">
        <f t="shared" si="11"/>
        <v>0.4</v>
      </c>
      <c r="BT11" s="23">
        <f t="shared" si="11"/>
        <v>1E-3</v>
      </c>
      <c r="BU11" s="23">
        <f t="shared" si="11"/>
        <v>2</v>
      </c>
      <c r="BV11" s="23">
        <f t="shared" si="11"/>
        <v>12.7</v>
      </c>
      <c r="BW11" s="23">
        <f t="shared" si="11"/>
        <v>11.561060965210439</v>
      </c>
      <c r="BX11" s="23">
        <f t="shared" si="11"/>
        <v>1.3080000000000001</v>
      </c>
      <c r="BY11" s="23">
        <f t="shared" si="12"/>
        <v>16.676398404552273</v>
      </c>
      <c r="BZ11" s="23">
        <f t="shared" si="11"/>
        <v>0.1</v>
      </c>
      <c r="CA11" s="26">
        <f>MATCH($AZ11,'Package Dimensions'!$B:$B,0)-2</f>
        <v>3</v>
      </c>
      <c r="CB11" s="26">
        <f t="shared" si="28"/>
        <v>4</v>
      </c>
      <c r="CC11" s="26">
        <f t="shared" si="29"/>
        <v>3</v>
      </c>
      <c r="CD11" s="26">
        <f t="shared" si="13"/>
        <v>4</v>
      </c>
      <c r="CE11" s="26">
        <f t="shared" si="13"/>
        <v>1</v>
      </c>
      <c r="CF11" s="26">
        <f t="shared" si="14"/>
        <v>3</v>
      </c>
      <c r="CG11" s="26">
        <f t="shared" si="15"/>
        <v>1</v>
      </c>
      <c r="CH11" s="26">
        <f t="shared" si="30"/>
        <v>4</v>
      </c>
      <c r="CI11" s="28"/>
      <c r="CJ11" s="29"/>
      <c r="CK11" s="45">
        <f t="array" ref="CK11">IFERROR(MATCH(FALSE,$A11:$AX11=Sheet1!$A11:$AX11,0),0)</f>
        <v>0</v>
      </c>
    </row>
    <row r="12" spans="1:92">
      <c r="A12" s="22" t="str">
        <f t="shared" si="32"/>
        <v>017AA AXIAL-0.8</v>
      </c>
      <c r="B12" s="23" t="str">
        <f t="shared" si="17"/>
        <v>017AA AXIAL-0.8 Plastic</v>
      </c>
      <c r="C12" s="23" t="str">
        <f t="shared" si="18"/>
        <v>$P</v>
      </c>
      <c r="D12" s="23">
        <f t="shared" si="0"/>
        <v>328965</v>
      </c>
      <c r="E12" s="23" t="str">
        <f t="shared" si="1"/>
        <v>=3.68mm</v>
      </c>
      <c r="F12" s="23" t="str">
        <f t="shared" si="1"/>
        <v>=25.4mm</v>
      </c>
      <c r="G12" s="23" t="str">
        <f t="shared" si="19"/>
        <v>=1mm</v>
      </c>
      <c r="H12" s="23" t="str">
        <f t="shared" si="2"/>
        <v>=0.0575mm</v>
      </c>
      <c r="I12" s="23" t="str">
        <f t="shared" si="2"/>
        <v>=8.89mm</v>
      </c>
      <c r="J12" s="23" t="str">
        <f t="shared" si="2"/>
        <v>=1.09mm</v>
      </c>
      <c r="K12" s="23" t="str">
        <f t="shared" si="2"/>
        <v>=1.5mm</v>
      </c>
      <c r="L12" s="23" t="str">
        <f t="shared" si="2"/>
        <v>=1.2mm</v>
      </c>
      <c r="M12" s="23" t="str">
        <f t="shared" si="2"/>
        <v>=0.001mm</v>
      </c>
      <c r="N12" s="23" t="str">
        <f t="shared" si="2"/>
        <v>=2mm</v>
      </c>
      <c r="O12" s="23" t="str">
        <f t="shared" si="20"/>
        <v>=20.32mm</v>
      </c>
      <c r="P12" s="23" t="str">
        <f t="shared" si="3"/>
        <v>SOLIDWORKS Materials:PUR</v>
      </c>
      <c r="Q12" s="26" t="str">
        <f t="shared" si="21"/>
        <v>017AA</v>
      </c>
      <c r="R12" s="25" t="str">
        <f t="shared" si="22"/>
        <v xml:space="preserve">AXIAL-0.8 </v>
      </c>
      <c r="S12" s="23" t="str">
        <f>IF($AY12,INDEX(PkgTable,$CA12,MATCH(S$2,PkgTblHdr,0)),"")</f>
        <v/>
      </c>
      <c r="T12" s="23" t="str">
        <f>IF($AY12,INDEX(PkgTable,$CA12,MATCH(T$2,PkgTblHdr,0)),"")</f>
        <v/>
      </c>
      <c r="U12" s="23" t="str">
        <f>IF($AY12,INDEX(PkgTable,$CA12,MATCH(U$2,PkgTblHdr,0)),"")</f>
        <v/>
      </c>
      <c r="V12" s="23" t="str">
        <f>IF($AY12,INDEX(PkgTable,$CA12,MATCH(V$2,PkgTblHdr,0)),"")</f>
        <v/>
      </c>
      <c r="W12" s="23" t="str">
        <f>IF($AY12,INDEX(PkgTable,$CA12,MATCH(W$2,PkgTblHdr,0)),"")</f>
        <v/>
      </c>
      <c r="X12" s="23" t="str">
        <f>IF($AY12,INDEX(PkgTable,$CA12,MATCH(X$2,PkgTblHdr,0)),"")</f>
        <v/>
      </c>
      <c r="Y12" s="23" t="str">
        <f>IF($AY12,INDEX(PkgTable,$CA12,MATCH(Y$2,PkgTblHdr,0)),"")</f>
        <v/>
      </c>
      <c r="Z12" s="23" t="str">
        <f>IF($AY12,INDEX(PkgTable,$CA12,MATCH(Z$2,PkgTblHdr,0)),"")</f>
        <v/>
      </c>
      <c r="AA12" s="23" t="str">
        <f>IF($AY12,INDEX(PkgTable,$CA12,MATCH(AA$2,PkgTblHdr,0)),"")</f>
        <v/>
      </c>
      <c r="AB12" s="23" t="str">
        <f>IF($AY12,INDEX(PkgTable,$CA12,MATCH(AB$2,PkgTblHdr,0)),"")</f>
        <v/>
      </c>
      <c r="AC12" s="23" t="str">
        <f>IF($AY12,INDEX(PkgTable,$CA12,MATCH(AC$2,PkgTblHdr,0)),"")</f>
        <v/>
      </c>
      <c r="AD12" s="23" t="str">
        <f>IF($AY12,INDEX(PkgTable,$CA12,MATCH(AD$2,PkgTblHdr,0)),"")</f>
        <v/>
      </c>
      <c r="AE12" s="23" t="str">
        <f>IF($AY12,INDEX(PkgTable,$CA12,MATCH(AE$2,PkgTblHdr,0)),"")</f>
        <v/>
      </c>
      <c r="AF12" s="23"/>
      <c r="AG12" s="23" t="str">
        <f t="shared" si="4"/>
        <v>=1mm</v>
      </c>
      <c r="AH12" s="23" t="str">
        <f t="shared" si="4"/>
        <v>=0.4mm</v>
      </c>
      <c r="AI12" s="23" t="str">
        <f t="shared" si="4"/>
        <v>=11.5610609652104mm</v>
      </c>
      <c r="AJ12" s="23" t="str">
        <f t="shared" si="4"/>
        <v>=1.308mm</v>
      </c>
      <c r="AK12" s="23" t="str">
        <f t="shared" si="23"/>
        <v/>
      </c>
      <c r="AL12" s="23" t="str">
        <f t="shared" si="5"/>
        <v/>
      </c>
      <c r="AM12" s="23" t="str">
        <f t="shared" si="5"/>
        <v/>
      </c>
      <c r="AN12" s="23" t="str">
        <f t="shared" si="6"/>
        <v>=0.6mm</v>
      </c>
      <c r="AO12" s="23" t="str">
        <f t="shared" si="6"/>
        <v>=0.1mm</v>
      </c>
      <c r="AP12" s="24"/>
      <c r="AQ12" s="24"/>
      <c r="AR12" s="24"/>
      <c r="AS12" s="24"/>
      <c r="AT12" s="24"/>
      <c r="AU12" s="24"/>
      <c r="AV12" s="24"/>
      <c r="AW12" s="26"/>
      <c r="AX12" s="43"/>
      <c r="AY12" s="26" t="b">
        <f t="shared" si="24"/>
        <v>0</v>
      </c>
      <c r="AZ12" s="26" t="str">
        <f t="shared" si="7"/>
        <v>017AA</v>
      </c>
      <c r="BA12" s="25">
        <f t="shared" si="8"/>
        <v>500</v>
      </c>
      <c r="BB12" s="27">
        <f t="shared" si="8"/>
        <v>100</v>
      </c>
      <c r="BC12" s="25">
        <f t="shared" si="25"/>
        <v>800</v>
      </c>
      <c r="BD12" s="28">
        <f t="shared" si="9"/>
        <v>1</v>
      </c>
      <c r="BE12" s="28">
        <f t="shared" si="9"/>
        <v>0</v>
      </c>
      <c r="BF12" s="28">
        <f t="shared" si="26"/>
        <v>1</v>
      </c>
      <c r="BG12" s="25" t="str">
        <f t="shared" si="10"/>
        <v xml:space="preserve">AXIAL-0.8 </v>
      </c>
      <c r="BH12" s="25" t="str">
        <f t="shared" si="27"/>
        <v/>
      </c>
      <c r="BI12" s="23">
        <f t="shared" si="11"/>
        <v>3.68</v>
      </c>
      <c r="BJ12" s="23">
        <f t="shared" si="11"/>
        <v>25.4</v>
      </c>
      <c r="BK12" s="23">
        <f t="shared" si="11"/>
        <v>1</v>
      </c>
      <c r="BL12" s="23">
        <f t="shared" si="11"/>
        <v>5.7500000000000002E-2</v>
      </c>
      <c r="BM12" s="23">
        <f t="shared" si="11"/>
        <v>8.89</v>
      </c>
      <c r="BN12" s="23">
        <f t="shared" si="11"/>
        <v>1.0900000000000001</v>
      </c>
      <c r="BO12" s="23">
        <f t="shared" si="11"/>
        <v>1.5</v>
      </c>
      <c r="BP12" s="23">
        <f t="shared" si="11"/>
        <v>1.2</v>
      </c>
      <c r="BQ12" s="23">
        <f t="shared" si="11"/>
        <v>0.6</v>
      </c>
      <c r="BR12" s="23">
        <f t="shared" si="11"/>
        <v>1</v>
      </c>
      <c r="BS12" s="23">
        <f t="shared" si="11"/>
        <v>0.4</v>
      </c>
      <c r="BT12" s="23">
        <f t="shared" si="11"/>
        <v>1E-3</v>
      </c>
      <c r="BU12" s="23">
        <f t="shared" si="11"/>
        <v>2</v>
      </c>
      <c r="BV12" s="23">
        <f t="shared" si="11"/>
        <v>12.7</v>
      </c>
      <c r="BW12" s="23">
        <f t="shared" si="11"/>
        <v>11.561060965210439</v>
      </c>
      <c r="BX12" s="23">
        <f t="shared" si="11"/>
        <v>1.3080000000000001</v>
      </c>
      <c r="BY12" s="23">
        <f t="shared" si="12"/>
        <v>15.406398404552274</v>
      </c>
      <c r="BZ12" s="23">
        <f t="shared" si="11"/>
        <v>0.1</v>
      </c>
      <c r="CA12" s="26">
        <f>MATCH($AZ12,'Package Dimensions'!$B:$B,0)-2</f>
        <v>3</v>
      </c>
      <c r="CB12" s="26">
        <f t="shared" si="28"/>
        <v>4</v>
      </c>
      <c r="CC12" s="26">
        <f t="shared" si="29"/>
        <v>4</v>
      </c>
      <c r="CD12" s="26">
        <f t="shared" si="13"/>
        <v>4</v>
      </c>
      <c r="CE12" s="26">
        <f t="shared" si="13"/>
        <v>1</v>
      </c>
      <c r="CF12" s="26">
        <f t="shared" si="14"/>
        <v>4</v>
      </c>
      <c r="CG12" s="26">
        <f t="shared" si="15"/>
        <v>1</v>
      </c>
      <c r="CH12" s="26">
        <f t="shared" si="30"/>
        <v>4</v>
      </c>
      <c r="CI12" s="28"/>
      <c r="CJ12" s="29"/>
      <c r="CK12" s="45">
        <f t="array" ref="CK12">IFERROR(MATCH(FALSE,$A12:$AX12=Sheet1!$A12:$AX12,0),0)</f>
        <v>0</v>
      </c>
    </row>
    <row r="13" spans="1:92">
      <c r="A13" s="22" t="s">
        <v>29</v>
      </c>
      <c r="B13" s="23" t="str">
        <f t="shared" si="17"/>
        <v>DO-204AL AXIAL-0.3 Plastic</v>
      </c>
      <c r="C13" s="23" t="str">
        <f t="shared" si="18"/>
        <v>$C</v>
      </c>
      <c r="D13" s="23">
        <f t="shared" si="0"/>
        <v>328965</v>
      </c>
      <c r="E13" s="23" t="str">
        <f t="shared" si="1"/>
        <v>=2.7mm</v>
      </c>
      <c r="F13" s="23" t="str">
        <f t="shared" si="1"/>
        <v>=25.4mm</v>
      </c>
      <c r="G13" s="23" t="str">
        <f t="shared" si="19"/>
        <v>=1mm</v>
      </c>
      <c r="H13" s="23" t="str">
        <f t="shared" ref="H13:N26" si="33">"="&amp;INDEX(PkgInstanceValues,1,MATCH(MID(H$2,1+LEN("$VALUE@"),LEN(H$2)-LEN("$Value@@Equations")),PkgInstanceHdr,0))&amp;"mm"</f>
        <v>=0.0421875mm</v>
      </c>
      <c r="I13" s="23" t="str">
        <f t="shared" si="33"/>
        <v>=5.2mm</v>
      </c>
      <c r="J13" s="23" t="str">
        <f t="shared" si="33"/>
        <v>=0.86mm</v>
      </c>
      <c r="K13" s="23" t="str">
        <f t="shared" si="33"/>
        <v>=0.96mm</v>
      </c>
      <c r="L13" s="23" t="str">
        <f t="shared" si="33"/>
        <v>=1.3mm</v>
      </c>
      <c r="M13" s="23" t="str">
        <f t="shared" si="33"/>
        <v>=0.001mm</v>
      </c>
      <c r="N13" s="23" t="str">
        <f t="shared" si="33"/>
        <v>=2mm</v>
      </c>
      <c r="O13" s="23" t="str">
        <f t="shared" si="20"/>
        <v>=7.62mm</v>
      </c>
      <c r="P13" s="23" t="str">
        <f t="shared" si="3"/>
        <v>SOLIDWORKS Materials:PUR</v>
      </c>
      <c r="Q13" s="26"/>
      <c r="R13" s="25" t="str">
        <f t="shared" si="22"/>
        <v xml:space="preserve">AXIAL-0.3 </v>
      </c>
      <c r="S13" s="23" t="str">
        <f>IF($AY13,INDEX(PkgTable,$CA13,MATCH(S$2,PkgTblHdr,0)),"")</f>
        <v>S</v>
      </c>
      <c r="T13" s="23" t="str">
        <f>IF($AY13,INDEX(PkgTable,$CA13,MATCH(T$2,PkgTblHdr,0)),"")</f>
        <v>S</v>
      </c>
      <c r="U13" s="23" t="str">
        <f>IF($AY13,INDEX(PkgTable,$CA13,MATCH(U$2,PkgTblHdr,0)),"")</f>
        <v>S</v>
      </c>
      <c r="V13" s="23" t="str">
        <f>IF($AY13,INDEX(PkgTable,$CA13,MATCH(V$2,PkgTblHdr,0)),"")</f>
        <v>U</v>
      </c>
      <c r="W13" s="23" t="str">
        <f>IF($AY13,INDEX(PkgTable,$CA13,MATCH(W$2,PkgTblHdr,0)),"")</f>
        <v>S</v>
      </c>
      <c r="X13" s="23" t="str">
        <f>IF($AY13,INDEX(PkgTable,$CA13,MATCH(X$2,PkgTblHdr,0)),"")</f>
        <v>U</v>
      </c>
      <c r="Y13" s="23" t="str">
        <f>IF($AY13,INDEX(PkgTable,$CA13,MATCH(Y$2,PkgTblHdr,0)),"")</f>
        <v>S</v>
      </c>
      <c r="Z13" s="23" t="str">
        <f>IF($AY13,INDEX(PkgTable,$CA13,MATCH(Z$2,PkgTblHdr,0)),"")</f>
        <v>U</v>
      </c>
      <c r="AA13" s="23" t="str">
        <f>IF($AY13,INDEX(PkgTable,$CA13,MATCH(AA$2,PkgTblHdr,0)),"")</f>
        <v>U</v>
      </c>
      <c r="AB13" s="23" t="str">
        <f>IF($AY13,INDEX(PkgTable,$CA13,MATCH(AB$2,PkgTblHdr,0)),"")</f>
        <v>U</v>
      </c>
      <c r="AC13" s="23" t="str">
        <f>IF($AY13,INDEX(PkgTable,$CA13,MATCH(AC$2,PkgTblHdr,0)),"")</f>
        <v>U</v>
      </c>
      <c r="AD13" s="23" t="str">
        <f>IF($AY13,INDEX(PkgTable,$CA13,MATCH(AD$2,PkgTblHdr,0)),"")</f>
        <v>U</v>
      </c>
      <c r="AE13" s="23" t="str">
        <f>IF($AY13,INDEX(PkgTable,$CA13,MATCH(AE$2,PkgTblHdr,0)),"")</f>
        <v>U</v>
      </c>
      <c r="AF13" s="23" t="s">
        <v>17</v>
      </c>
      <c r="AG13" s="23" t="str">
        <f t="shared" si="4"/>
        <v>=0.001mm</v>
      </c>
      <c r="AH13" s="23" t="str">
        <f t="shared" si="4"/>
        <v>=0.001mm</v>
      </c>
      <c r="AI13" s="23" t="str">
        <f t="shared" si="4"/>
        <v>=8.48230016469244mm</v>
      </c>
      <c r="AJ13" s="23" t="str">
        <f t="shared" si="4"/>
        <v>=1.032mm</v>
      </c>
      <c r="AK13" s="23" t="str">
        <f t="shared" si="23"/>
        <v>U</v>
      </c>
      <c r="AL13" s="23" t="str">
        <f t="shared" si="5"/>
        <v>U</v>
      </c>
      <c r="AM13" s="23" t="str">
        <f t="shared" si="5"/>
        <v>U</v>
      </c>
      <c r="AN13" s="23" t="str">
        <f t="shared" si="6"/>
        <v>=0.16mm</v>
      </c>
      <c r="AO13" s="23" t="str">
        <f t="shared" si="6"/>
        <v>=0.1mm</v>
      </c>
      <c r="AP13" s="23"/>
      <c r="AQ13" s="23"/>
      <c r="AR13" s="23"/>
      <c r="AS13" s="23"/>
      <c r="AT13" s="23"/>
      <c r="AU13" s="23"/>
      <c r="AV13" s="23"/>
      <c r="AW13" s="26"/>
      <c r="AX13" s="43"/>
      <c r="AY13" s="26" t="b">
        <f t="shared" si="24"/>
        <v>1</v>
      </c>
      <c r="AZ13" s="26" t="str">
        <f t="shared" si="7"/>
        <v>DO-204AL</v>
      </c>
      <c r="BA13" s="25">
        <f t="shared" si="8"/>
        <v>300</v>
      </c>
      <c r="BB13" s="27">
        <f t="shared" si="8"/>
        <v>100</v>
      </c>
      <c r="BC13" s="25">
        <f t="shared" si="25"/>
        <v>300</v>
      </c>
      <c r="BD13" s="28">
        <f t="shared" si="9"/>
        <v>1</v>
      </c>
      <c r="BE13" s="28">
        <f t="shared" si="9"/>
        <v>0</v>
      </c>
      <c r="BF13" s="28">
        <f t="shared" si="26"/>
        <v>1</v>
      </c>
      <c r="BG13" s="25" t="str">
        <f t="shared" si="10"/>
        <v xml:space="preserve">AXIAL-0.3 </v>
      </c>
      <c r="BH13" s="25" t="str">
        <f t="shared" si="27"/>
        <v/>
      </c>
      <c r="BI13" s="23">
        <f t="shared" ref="BI13:BX26" si="34">INDEX(PkgTable,$CA13,MATCH(BI$2,PkgTblHdr,0))</f>
        <v>2.7</v>
      </c>
      <c r="BJ13" s="23">
        <f t="shared" si="34"/>
        <v>25.4</v>
      </c>
      <c r="BK13" s="23">
        <f t="shared" si="34"/>
        <v>1</v>
      </c>
      <c r="BL13" s="23">
        <f t="shared" si="34"/>
        <v>4.2187500000000003E-2</v>
      </c>
      <c r="BM13" s="23">
        <f t="shared" si="34"/>
        <v>5.2</v>
      </c>
      <c r="BN13" s="23">
        <f t="shared" si="34"/>
        <v>0.86</v>
      </c>
      <c r="BO13" s="23">
        <f t="shared" si="34"/>
        <v>0.96</v>
      </c>
      <c r="BP13" s="23">
        <f t="shared" si="34"/>
        <v>1.3</v>
      </c>
      <c r="BQ13" s="23">
        <f t="shared" si="11"/>
        <v>0.16</v>
      </c>
      <c r="BR13" s="23">
        <f t="shared" si="34"/>
        <v>1E-3</v>
      </c>
      <c r="BS13" s="23">
        <f t="shared" si="34"/>
        <v>1E-3</v>
      </c>
      <c r="BT13" s="23">
        <f t="shared" si="34"/>
        <v>1E-3</v>
      </c>
      <c r="BU13" s="23">
        <f t="shared" si="34"/>
        <v>2</v>
      </c>
      <c r="BV13" s="23">
        <f t="shared" si="34"/>
        <v>7.62</v>
      </c>
      <c r="BW13" s="23">
        <f t="shared" si="34"/>
        <v>8.4823001646924414</v>
      </c>
      <c r="BX13" s="23">
        <f t="shared" si="34"/>
        <v>1.032</v>
      </c>
      <c r="BY13" s="23">
        <f t="shared" si="12"/>
        <v>20.282938190747664</v>
      </c>
      <c r="BZ13" s="23">
        <f t="shared" si="11"/>
        <v>0.1</v>
      </c>
      <c r="CA13" s="26">
        <f>MATCH($AZ13,'Package Dimensions'!$B:$B,0)-2</f>
        <v>4</v>
      </c>
      <c r="CB13" s="26">
        <f t="shared" si="28"/>
        <v>4</v>
      </c>
      <c r="CC13" s="26">
        <f t="shared" si="29"/>
        <v>1</v>
      </c>
      <c r="CD13" s="26">
        <f t="shared" si="13"/>
        <v>4</v>
      </c>
      <c r="CE13" s="26">
        <f t="shared" si="13"/>
        <v>1</v>
      </c>
      <c r="CF13" s="26">
        <f t="shared" si="14"/>
        <v>1</v>
      </c>
      <c r="CG13" s="26">
        <f t="shared" si="15"/>
        <v>1</v>
      </c>
      <c r="CH13" s="26">
        <f t="shared" si="30"/>
        <v>4</v>
      </c>
      <c r="CI13" s="28"/>
      <c r="CJ13" s="29"/>
      <c r="CK13" s="45">
        <f t="array" ref="CK13">IFERROR(MATCH(FALSE,$A13:$AX13=Sheet1!$A13:$AX13,0),0)</f>
        <v>0</v>
      </c>
    </row>
    <row r="14" spans="1:92">
      <c r="A14" s="22" t="str">
        <f>TRIM($AZ14&amp;" "&amp;$BG14&amp;$BH14)</f>
        <v>DO-204AL AXIAL-0.4</v>
      </c>
      <c r="B14" s="23" t="str">
        <f t="shared" si="17"/>
        <v>DO-204AL AXIAL-0.4 Plastic</v>
      </c>
      <c r="C14" s="23" t="str">
        <f t="shared" si="18"/>
        <v>$P</v>
      </c>
      <c r="D14" s="23">
        <f t="shared" si="0"/>
        <v>328965</v>
      </c>
      <c r="E14" s="23" t="str">
        <f t="shared" si="1"/>
        <v>=2.7mm</v>
      </c>
      <c r="F14" s="23" t="str">
        <f t="shared" si="1"/>
        <v>=25.4mm</v>
      </c>
      <c r="G14" s="23" t="str">
        <f t="shared" si="19"/>
        <v>=1mm</v>
      </c>
      <c r="H14" s="23" t="str">
        <f t="shared" si="33"/>
        <v>=0.0421875mm</v>
      </c>
      <c r="I14" s="23" t="str">
        <f t="shared" si="33"/>
        <v>=5.2mm</v>
      </c>
      <c r="J14" s="23" t="str">
        <f t="shared" si="33"/>
        <v>=0.86mm</v>
      </c>
      <c r="K14" s="23" t="str">
        <f t="shared" si="33"/>
        <v>=0.96mm</v>
      </c>
      <c r="L14" s="23" t="str">
        <f t="shared" si="33"/>
        <v>=1.3mm</v>
      </c>
      <c r="M14" s="23" t="str">
        <f t="shared" si="33"/>
        <v>=0.001mm</v>
      </c>
      <c r="N14" s="23" t="str">
        <f t="shared" si="33"/>
        <v>=2mm</v>
      </c>
      <c r="O14" s="23" t="str">
        <f t="shared" si="20"/>
        <v>=10.16mm</v>
      </c>
      <c r="P14" s="23" t="str">
        <f t="shared" si="3"/>
        <v>SOLIDWORKS Materials:PUR</v>
      </c>
      <c r="Q14" s="26" t="str">
        <f t="shared" si="21"/>
        <v>DO-204AL</v>
      </c>
      <c r="R14" s="25" t="str">
        <f t="shared" si="22"/>
        <v xml:space="preserve">AXIAL-0.4 </v>
      </c>
      <c r="S14" s="23" t="str">
        <f>IF($AY14,INDEX(PkgTable,$CA14,MATCH(S$2,PkgTblHdr,0)),"")</f>
        <v/>
      </c>
      <c r="T14" s="23" t="str">
        <f>IF($AY14,INDEX(PkgTable,$CA14,MATCH(T$2,PkgTblHdr,0)),"")</f>
        <v/>
      </c>
      <c r="U14" s="23" t="str">
        <f>IF($AY14,INDEX(PkgTable,$CA14,MATCH(U$2,PkgTblHdr,0)),"")</f>
        <v/>
      </c>
      <c r="V14" s="23" t="str">
        <f>IF($AY14,INDEX(PkgTable,$CA14,MATCH(V$2,PkgTblHdr,0)),"")</f>
        <v/>
      </c>
      <c r="W14" s="23" t="str">
        <f>IF($AY14,INDEX(PkgTable,$CA14,MATCH(W$2,PkgTblHdr,0)),"")</f>
        <v/>
      </c>
      <c r="X14" s="23" t="str">
        <f>IF($AY14,INDEX(PkgTable,$CA14,MATCH(X$2,PkgTblHdr,0)),"")</f>
        <v/>
      </c>
      <c r="Y14" s="23" t="str">
        <f>IF($AY14,INDEX(PkgTable,$CA14,MATCH(Y$2,PkgTblHdr,0)),"")</f>
        <v/>
      </c>
      <c r="Z14" s="23" t="str">
        <f>IF($AY14,INDEX(PkgTable,$CA14,MATCH(Z$2,PkgTblHdr,0)),"")</f>
        <v/>
      </c>
      <c r="AA14" s="23" t="str">
        <f>IF($AY14,INDEX(PkgTable,$CA14,MATCH(AA$2,PkgTblHdr,0)),"")</f>
        <v/>
      </c>
      <c r="AB14" s="23" t="str">
        <f>IF($AY14,INDEX(PkgTable,$CA14,MATCH(AB$2,PkgTblHdr,0)),"")</f>
        <v/>
      </c>
      <c r="AC14" s="23" t="str">
        <f>IF($AY14,INDEX(PkgTable,$CA14,MATCH(AC$2,PkgTblHdr,0)),"")</f>
        <v/>
      </c>
      <c r="AD14" s="23" t="str">
        <f>IF($AY14,INDEX(PkgTable,$CA14,MATCH(AD$2,PkgTblHdr,0)),"")</f>
        <v/>
      </c>
      <c r="AE14" s="23" t="str">
        <f>IF($AY14,INDEX(PkgTable,$CA14,MATCH(AE$2,PkgTblHdr,0)),"")</f>
        <v/>
      </c>
      <c r="AF14" s="23"/>
      <c r="AG14" s="23" t="str">
        <f t="shared" si="4"/>
        <v>=0.001mm</v>
      </c>
      <c r="AH14" s="23" t="str">
        <f t="shared" si="4"/>
        <v>=0.001mm</v>
      </c>
      <c r="AI14" s="23" t="str">
        <f t="shared" si="4"/>
        <v>=8.48230016469244mm</v>
      </c>
      <c r="AJ14" s="23" t="str">
        <f t="shared" si="4"/>
        <v>=1.032mm</v>
      </c>
      <c r="AK14" s="23" t="str">
        <f t="shared" si="23"/>
        <v/>
      </c>
      <c r="AL14" s="23" t="str">
        <f t="shared" si="5"/>
        <v/>
      </c>
      <c r="AM14" s="23" t="str">
        <f t="shared" si="5"/>
        <v/>
      </c>
      <c r="AN14" s="23" t="str">
        <f t="shared" si="6"/>
        <v>=0.16mm</v>
      </c>
      <c r="AO14" s="23" t="str">
        <f t="shared" si="6"/>
        <v>=0.1mm</v>
      </c>
      <c r="AP14" s="24"/>
      <c r="AQ14" s="24"/>
      <c r="AR14" s="24"/>
      <c r="AS14" s="24"/>
      <c r="AT14" s="24"/>
      <c r="AU14" s="24"/>
      <c r="AV14" s="24"/>
      <c r="AW14" s="26"/>
      <c r="AX14" s="43"/>
      <c r="AY14" s="26" t="b">
        <f t="shared" si="24"/>
        <v>0</v>
      </c>
      <c r="AZ14" s="26" t="str">
        <f t="shared" si="7"/>
        <v>DO-204AL</v>
      </c>
      <c r="BA14" s="25">
        <f t="shared" si="8"/>
        <v>300</v>
      </c>
      <c r="BB14" s="27">
        <f t="shared" si="8"/>
        <v>100</v>
      </c>
      <c r="BC14" s="25">
        <f t="shared" si="25"/>
        <v>400</v>
      </c>
      <c r="BD14" s="28">
        <f t="shared" si="9"/>
        <v>1</v>
      </c>
      <c r="BE14" s="28">
        <f t="shared" si="9"/>
        <v>0</v>
      </c>
      <c r="BF14" s="28">
        <f t="shared" si="26"/>
        <v>1</v>
      </c>
      <c r="BG14" s="25" t="str">
        <f t="shared" si="10"/>
        <v xml:space="preserve">AXIAL-0.4 </v>
      </c>
      <c r="BH14" s="25" t="str">
        <f t="shared" si="27"/>
        <v/>
      </c>
      <c r="BI14" s="23">
        <f t="shared" si="34"/>
        <v>2.7</v>
      </c>
      <c r="BJ14" s="23">
        <f t="shared" si="34"/>
        <v>25.4</v>
      </c>
      <c r="BK14" s="23">
        <f t="shared" si="34"/>
        <v>1</v>
      </c>
      <c r="BL14" s="23">
        <f t="shared" si="34"/>
        <v>4.2187500000000003E-2</v>
      </c>
      <c r="BM14" s="23">
        <f t="shared" si="34"/>
        <v>5.2</v>
      </c>
      <c r="BN14" s="23">
        <f t="shared" si="34"/>
        <v>0.86</v>
      </c>
      <c r="BO14" s="23">
        <f t="shared" si="34"/>
        <v>0.96</v>
      </c>
      <c r="BP14" s="23">
        <f t="shared" si="34"/>
        <v>1.3</v>
      </c>
      <c r="BQ14" s="23">
        <f t="shared" si="11"/>
        <v>0.16</v>
      </c>
      <c r="BR14" s="23">
        <f t="shared" si="34"/>
        <v>1E-3</v>
      </c>
      <c r="BS14" s="23">
        <f t="shared" si="34"/>
        <v>1E-3</v>
      </c>
      <c r="BT14" s="23">
        <f t="shared" si="34"/>
        <v>1E-3</v>
      </c>
      <c r="BU14" s="23">
        <f t="shared" si="34"/>
        <v>2</v>
      </c>
      <c r="BV14" s="23">
        <f t="shared" si="34"/>
        <v>7.62</v>
      </c>
      <c r="BW14" s="23">
        <f t="shared" si="34"/>
        <v>8.4823001646924414</v>
      </c>
      <c r="BX14" s="23">
        <f t="shared" si="34"/>
        <v>1.032</v>
      </c>
      <c r="BY14" s="23">
        <f t="shared" si="12"/>
        <v>19.012938190747665</v>
      </c>
      <c r="BZ14" s="23">
        <f t="shared" si="11"/>
        <v>0.1</v>
      </c>
      <c r="CA14" s="26">
        <f>MATCH($AZ14,'Package Dimensions'!$B:$B,0)-2</f>
        <v>4</v>
      </c>
      <c r="CB14" s="26">
        <f t="shared" si="28"/>
        <v>4</v>
      </c>
      <c r="CC14" s="26">
        <f t="shared" si="29"/>
        <v>2</v>
      </c>
      <c r="CD14" s="26">
        <f t="shared" si="13"/>
        <v>4</v>
      </c>
      <c r="CE14" s="26">
        <f t="shared" si="13"/>
        <v>1</v>
      </c>
      <c r="CF14" s="26">
        <f t="shared" si="14"/>
        <v>2</v>
      </c>
      <c r="CG14" s="26">
        <f t="shared" si="15"/>
        <v>1</v>
      </c>
      <c r="CH14" s="26">
        <f t="shared" si="30"/>
        <v>4</v>
      </c>
      <c r="CI14" s="28"/>
      <c r="CJ14" s="29"/>
      <c r="CK14" s="45">
        <f t="array" ref="CK14">IFERROR(MATCH(FALSE,$A14:$AX14=Sheet1!$A14:$AX14,0),0)</f>
        <v>0</v>
      </c>
    </row>
    <row r="15" spans="1:92">
      <c r="A15" s="22" t="str">
        <f>TRIM($AZ15&amp;" "&amp;$BG15&amp;$BH15)</f>
        <v>DO-204AL AXIAL-0.5</v>
      </c>
      <c r="B15" s="23" t="str">
        <f t="shared" si="17"/>
        <v>DO-204AL AXIAL-0.5 Plastic</v>
      </c>
      <c r="C15" s="23" t="str">
        <f t="shared" si="18"/>
        <v>$P</v>
      </c>
      <c r="D15" s="23">
        <f t="shared" si="0"/>
        <v>328965</v>
      </c>
      <c r="E15" s="23" t="str">
        <f t="shared" si="1"/>
        <v>=2.7mm</v>
      </c>
      <c r="F15" s="23" t="str">
        <f t="shared" si="1"/>
        <v>=25.4mm</v>
      </c>
      <c r="G15" s="23" t="str">
        <f t="shared" si="19"/>
        <v>=1mm</v>
      </c>
      <c r="H15" s="23" t="str">
        <f t="shared" si="33"/>
        <v>=0.0421875mm</v>
      </c>
      <c r="I15" s="23" t="str">
        <f t="shared" si="33"/>
        <v>=5.2mm</v>
      </c>
      <c r="J15" s="23" t="str">
        <f t="shared" si="33"/>
        <v>=0.86mm</v>
      </c>
      <c r="K15" s="23" t="str">
        <f t="shared" si="33"/>
        <v>=0.96mm</v>
      </c>
      <c r="L15" s="23" t="str">
        <f t="shared" si="33"/>
        <v>=1.3mm</v>
      </c>
      <c r="M15" s="23" t="str">
        <f t="shared" si="33"/>
        <v>=0.001mm</v>
      </c>
      <c r="N15" s="23" t="str">
        <f t="shared" si="33"/>
        <v>=2mm</v>
      </c>
      <c r="O15" s="23" t="str">
        <f t="shared" si="20"/>
        <v>=12.7mm</v>
      </c>
      <c r="P15" s="23" t="str">
        <f t="shared" si="3"/>
        <v>SOLIDWORKS Materials:PUR</v>
      </c>
      <c r="Q15" s="26" t="str">
        <f t="shared" si="21"/>
        <v>DO-204AL</v>
      </c>
      <c r="R15" s="25" t="str">
        <f t="shared" si="22"/>
        <v xml:space="preserve">AXIAL-0.5 </v>
      </c>
      <c r="S15" s="23" t="str">
        <f>IF($AY15,INDEX(PkgTable,$CA15,MATCH(S$2,PkgTblHdr,0)),"")</f>
        <v/>
      </c>
      <c r="T15" s="23" t="str">
        <f>IF($AY15,INDEX(PkgTable,$CA15,MATCH(T$2,PkgTblHdr,0)),"")</f>
        <v/>
      </c>
      <c r="U15" s="23" t="str">
        <f>IF($AY15,INDEX(PkgTable,$CA15,MATCH(U$2,PkgTblHdr,0)),"")</f>
        <v/>
      </c>
      <c r="V15" s="23" t="str">
        <f>IF($AY15,INDEX(PkgTable,$CA15,MATCH(V$2,PkgTblHdr,0)),"")</f>
        <v/>
      </c>
      <c r="W15" s="23" t="str">
        <f>IF($AY15,INDEX(PkgTable,$CA15,MATCH(W$2,PkgTblHdr,0)),"")</f>
        <v/>
      </c>
      <c r="X15" s="23" t="str">
        <f>IF($AY15,INDEX(PkgTable,$CA15,MATCH(X$2,PkgTblHdr,0)),"")</f>
        <v/>
      </c>
      <c r="Y15" s="23" t="str">
        <f>IF($AY15,INDEX(PkgTable,$CA15,MATCH(Y$2,PkgTblHdr,0)),"")</f>
        <v/>
      </c>
      <c r="Z15" s="23" t="str">
        <f>IF($AY15,INDEX(PkgTable,$CA15,MATCH(Z$2,PkgTblHdr,0)),"")</f>
        <v/>
      </c>
      <c r="AA15" s="23" t="str">
        <f>IF($AY15,INDEX(PkgTable,$CA15,MATCH(AA$2,PkgTblHdr,0)),"")</f>
        <v/>
      </c>
      <c r="AB15" s="23" t="str">
        <f>IF($AY15,INDEX(PkgTable,$CA15,MATCH(AB$2,PkgTblHdr,0)),"")</f>
        <v/>
      </c>
      <c r="AC15" s="23" t="str">
        <f>IF($AY15,INDEX(PkgTable,$CA15,MATCH(AC$2,PkgTblHdr,0)),"")</f>
        <v/>
      </c>
      <c r="AD15" s="23" t="str">
        <f>IF($AY15,INDEX(PkgTable,$CA15,MATCH(AD$2,PkgTblHdr,0)),"")</f>
        <v/>
      </c>
      <c r="AE15" s="23" t="str">
        <f>IF($AY15,INDEX(PkgTable,$CA15,MATCH(AE$2,PkgTblHdr,0)),"")</f>
        <v/>
      </c>
      <c r="AF15" s="23"/>
      <c r="AG15" s="23" t="str">
        <f t="shared" si="4"/>
        <v>=0.001mm</v>
      </c>
      <c r="AH15" s="23" t="str">
        <f t="shared" si="4"/>
        <v>=0.001mm</v>
      </c>
      <c r="AI15" s="23" t="str">
        <f t="shared" si="4"/>
        <v>=8.48230016469244mm</v>
      </c>
      <c r="AJ15" s="23" t="str">
        <f t="shared" si="4"/>
        <v>=1.032mm</v>
      </c>
      <c r="AK15" s="23" t="str">
        <f t="shared" si="23"/>
        <v/>
      </c>
      <c r="AL15" s="23" t="str">
        <f t="shared" si="5"/>
        <v/>
      </c>
      <c r="AM15" s="23" t="str">
        <f t="shared" si="5"/>
        <v/>
      </c>
      <c r="AN15" s="23" t="str">
        <f t="shared" si="6"/>
        <v>=0.16mm</v>
      </c>
      <c r="AO15" s="23" t="str">
        <f t="shared" si="6"/>
        <v>=0.1mm</v>
      </c>
      <c r="AP15" s="24"/>
      <c r="AQ15" s="24"/>
      <c r="AR15" s="24"/>
      <c r="AS15" s="24"/>
      <c r="AT15" s="24"/>
      <c r="AU15" s="24"/>
      <c r="AV15" s="24"/>
      <c r="AW15" s="26"/>
      <c r="AX15" s="43"/>
      <c r="AY15" s="26" t="b">
        <f t="shared" si="24"/>
        <v>0</v>
      </c>
      <c r="AZ15" s="26" t="str">
        <f t="shared" si="7"/>
        <v>DO-204AL</v>
      </c>
      <c r="BA15" s="25">
        <f t="shared" si="8"/>
        <v>300</v>
      </c>
      <c r="BB15" s="27">
        <f t="shared" si="8"/>
        <v>100</v>
      </c>
      <c r="BC15" s="25">
        <f t="shared" si="25"/>
        <v>500</v>
      </c>
      <c r="BD15" s="28">
        <f t="shared" si="9"/>
        <v>1</v>
      </c>
      <c r="BE15" s="28">
        <f t="shared" si="9"/>
        <v>0</v>
      </c>
      <c r="BF15" s="28">
        <f t="shared" si="26"/>
        <v>1</v>
      </c>
      <c r="BG15" s="25" t="str">
        <f t="shared" si="10"/>
        <v xml:space="preserve">AXIAL-0.5 </v>
      </c>
      <c r="BH15" s="25" t="str">
        <f t="shared" si="27"/>
        <v/>
      </c>
      <c r="BI15" s="23">
        <f t="shared" si="34"/>
        <v>2.7</v>
      </c>
      <c r="BJ15" s="23">
        <f t="shared" si="34"/>
        <v>25.4</v>
      </c>
      <c r="BK15" s="23">
        <f t="shared" si="34"/>
        <v>1</v>
      </c>
      <c r="BL15" s="23">
        <f t="shared" si="34"/>
        <v>4.2187500000000003E-2</v>
      </c>
      <c r="BM15" s="23">
        <f t="shared" si="34"/>
        <v>5.2</v>
      </c>
      <c r="BN15" s="23">
        <f t="shared" si="34"/>
        <v>0.86</v>
      </c>
      <c r="BO15" s="23">
        <f t="shared" si="34"/>
        <v>0.96</v>
      </c>
      <c r="BP15" s="23">
        <f t="shared" si="34"/>
        <v>1.3</v>
      </c>
      <c r="BQ15" s="23">
        <f t="shared" si="11"/>
        <v>0.16</v>
      </c>
      <c r="BR15" s="23">
        <f t="shared" si="34"/>
        <v>1E-3</v>
      </c>
      <c r="BS15" s="23">
        <f t="shared" si="34"/>
        <v>1E-3</v>
      </c>
      <c r="BT15" s="23">
        <f t="shared" si="34"/>
        <v>1E-3</v>
      </c>
      <c r="BU15" s="23">
        <f t="shared" si="34"/>
        <v>2</v>
      </c>
      <c r="BV15" s="23">
        <f t="shared" si="34"/>
        <v>7.62</v>
      </c>
      <c r="BW15" s="23">
        <f t="shared" si="34"/>
        <v>8.4823001646924414</v>
      </c>
      <c r="BX15" s="23">
        <f t="shared" si="34"/>
        <v>1.032</v>
      </c>
      <c r="BY15" s="23">
        <f t="shared" si="12"/>
        <v>17.742938190747665</v>
      </c>
      <c r="BZ15" s="23">
        <f t="shared" si="11"/>
        <v>0.1</v>
      </c>
      <c r="CA15" s="26">
        <f>MATCH($AZ15,'Package Dimensions'!$B:$B,0)-2</f>
        <v>4</v>
      </c>
      <c r="CB15" s="26">
        <f t="shared" si="28"/>
        <v>4</v>
      </c>
      <c r="CC15" s="26">
        <f t="shared" si="29"/>
        <v>3</v>
      </c>
      <c r="CD15" s="26">
        <f t="shared" si="13"/>
        <v>4</v>
      </c>
      <c r="CE15" s="26">
        <f t="shared" si="13"/>
        <v>1</v>
      </c>
      <c r="CF15" s="26">
        <f t="shared" si="14"/>
        <v>3</v>
      </c>
      <c r="CG15" s="26">
        <f t="shared" si="15"/>
        <v>1</v>
      </c>
      <c r="CH15" s="26">
        <f t="shared" si="30"/>
        <v>4</v>
      </c>
      <c r="CI15" s="28"/>
      <c r="CJ15" s="29"/>
      <c r="CK15" s="45">
        <f t="array" ref="CK15">IFERROR(MATCH(FALSE,$A15:$AX15=Sheet1!$A15:$AX15,0),0)</f>
        <v>0</v>
      </c>
    </row>
    <row r="16" spans="1:92">
      <c r="A16" s="22" t="str">
        <f>TRIM($AZ16&amp;" "&amp;$BG16&amp;$BH16)</f>
        <v>DO-204AL AXIAL-0.6</v>
      </c>
      <c r="B16" s="23" t="str">
        <f t="shared" si="17"/>
        <v>DO-204AL AXIAL-0.6 Plastic</v>
      </c>
      <c r="C16" s="23" t="str">
        <f t="shared" si="18"/>
        <v>$P</v>
      </c>
      <c r="D16" s="23">
        <f t="shared" si="0"/>
        <v>328965</v>
      </c>
      <c r="E16" s="23" t="str">
        <f t="shared" si="1"/>
        <v>=2.7mm</v>
      </c>
      <c r="F16" s="23" t="str">
        <f t="shared" si="1"/>
        <v>=25.4mm</v>
      </c>
      <c r="G16" s="23" t="str">
        <f t="shared" si="19"/>
        <v>=1mm</v>
      </c>
      <c r="H16" s="23" t="str">
        <f t="shared" si="33"/>
        <v>=0.0421875mm</v>
      </c>
      <c r="I16" s="23" t="str">
        <f t="shared" si="33"/>
        <v>=5.2mm</v>
      </c>
      <c r="J16" s="23" t="str">
        <f t="shared" si="33"/>
        <v>=0.86mm</v>
      </c>
      <c r="K16" s="23" t="str">
        <f t="shared" si="33"/>
        <v>=0.96mm</v>
      </c>
      <c r="L16" s="23" t="str">
        <f t="shared" si="33"/>
        <v>=1.3mm</v>
      </c>
      <c r="M16" s="23" t="str">
        <f t="shared" si="33"/>
        <v>=0.001mm</v>
      </c>
      <c r="N16" s="23" t="str">
        <f t="shared" si="33"/>
        <v>=2mm</v>
      </c>
      <c r="O16" s="23" t="str">
        <f t="shared" si="20"/>
        <v>=15.24mm</v>
      </c>
      <c r="P16" s="23" t="str">
        <f t="shared" si="3"/>
        <v>SOLIDWORKS Materials:PUR</v>
      </c>
      <c r="Q16" s="26" t="str">
        <f t="shared" si="21"/>
        <v>DO-204AL</v>
      </c>
      <c r="R16" s="25" t="str">
        <f t="shared" si="22"/>
        <v xml:space="preserve">AXIAL-0.6 </v>
      </c>
      <c r="S16" s="23" t="str">
        <f>IF($AY16,INDEX(PkgTable,$CA16,MATCH(S$2,PkgTblHdr,0)),"")</f>
        <v/>
      </c>
      <c r="T16" s="23" t="str">
        <f>IF($AY16,INDEX(PkgTable,$CA16,MATCH(T$2,PkgTblHdr,0)),"")</f>
        <v/>
      </c>
      <c r="U16" s="23" t="str">
        <f>IF($AY16,INDEX(PkgTable,$CA16,MATCH(U$2,PkgTblHdr,0)),"")</f>
        <v/>
      </c>
      <c r="V16" s="23" t="str">
        <f>IF($AY16,INDEX(PkgTable,$CA16,MATCH(V$2,PkgTblHdr,0)),"")</f>
        <v/>
      </c>
      <c r="W16" s="23" t="str">
        <f>IF($AY16,INDEX(PkgTable,$CA16,MATCH(W$2,PkgTblHdr,0)),"")</f>
        <v/>
      </c>
      <c r="X16" s="23" t="str">
        <f>IF($AY16,INDEX(PkgTable,$CA16,MATCH(X$2,PkgTblHdr,0)),"")</f>
        <v/>
      </c>
      <c r="Y16" s="23" t="str">
        <f>IF($AY16,INDEX(PkgTable,$CA16,MATCH(Y$2,PkgTblHdr,0)),"")</f>
        <v/>
      </c>
      <c r="Z16" s="23" t="str">
        <f>IF($AY16,INDEX(PkgTable,$CA16,MATCH(Z$2,PkgTblHdr,0)),"")</f>
        <v/>
      </c>
      <c r="AA16" s="23" t="str">
        <f>IF($AY16,INDEX(PkgTable,$CA16,MATCH(AA$2,PkgTblHdr,0)),"")</f>
        <v/>
      </c>
      <c r="AB16" s="23" t="str">
        <f>IF($AY16,INDEX(PkgTable,$CA16,MATCH(AB$2,PkgTblHdr,0)),"")</f>
        <v/>
      </c>
      <c r="AC16" s="23" t="str">
        <f>IF($AY16,INDEX(PkgTable,$CA16,MATCH(AC$2,PkgTblHdr,0)),"")</f>
        <v/>
      </c>
      <c r="AD16" s="23" t="str">
        <f>IF($AY16,INDEX(PkgTable,$CA16,MATCH(AD$2,PkgTblHdr,0)),"")</f>
        <v/>
      </c>
      <c r="AE16" s="23" t="str">
        <f>IF($AY16,INDEX(PkgTable,$CA16,MATCH(AE$2,PkgTblHdr,0)),"")</f>
        <v/>
      </c>
      <c r="AF16" s="23" t="s">
        <v>17</v>
      </c>
      <c r="AG16" s="23" t="str">
        <f t="shared" si="4"/>
        <v>=0.001mm</v>
      </c>
      <c r="AH16" s="23" t="str">
        <f t="shared" si="4"/>
        <v>=0.001mm</v>
      </c>
      <c r="AI16" s="23" t="str">
        <f t="shared" si="4"/>
        <v>=8.48230016469244mm</v>
      </c>
      <c r="AJ16" s="23" t="str">
        <f t="shared" si="4"/>
        <v>=1.032mm</v>
      </c>
      <c r="AK16" s="23" t="str">
        <f t="shared" si="23"/>
        <v/>
      </c>
      <c r="AL16" s="23" t="str">
        <f t="shared" si="5"/>
        <v/>
      </c>
      <c r="AM16" s="23" t="str">
        <f t="shared" si="5"/>
        <v/>
      </c>
      <c r="AN16" s="23" t="str">
        <f t="shared" si="6"/>
        <v>=0.16mm</v>
      </c>
      <c r="AO16" s="23" t="str">
        <f t="shared" si="6"/>
        <v>=0.1mm</v>
      </c>
      <c r="AP16" s="24"/>
      <c r="AQ16" s="24"/>
      <c r="AR16" s="24"/>
      <c r="AS16" s="24"/>
      <c r="AT16" s="24"/>
      <c r="AU16" s="24"/>
      <c r="AV16" s="24"/>
      <c r="AW16" s="26"/>
      <c r="AX16" s="43"/>
      <c r="AY16" s="26" t="b">
        <f t="shared" si="24"/>
        <v>0</v>
      </c>
      <c r="AZ16" s="26" t="str">
        <f t="shared" si="7"/>
        <v>DO-204AL</v>
      </c>
      <c r="BA16" s="25">
        <f t="shared" si="8"/>
        <v>300</v>
      </c>
      <c r="BB16" s="27">
        <f t="shared" si="8"/>
        <v>100</v>
      </c>
      <c r="BC16" s="25">
        <f t="shared" si="25"/>
        <v>600</v>
      </c>
      <c r="BD16" s="28">
        <f t="shared" si="9"/>
        <v>1</v>
      </c>
      <c r="BE16" s="28">
        <f t="shared" si="9"/>
        <v>0</v>
      </c>
      <c r="BF16" s="28">
        <f t="shared" si="26"/>
        <v>1</v>
      </c>
      <c r="BG16" s="25" t="str">
        <f t="shared" si="10"/>
        <v xml:space="preserve">AXIAL-0.6 </v>
      </c>
      <c r="BH16" s="25" t="str">
        <f t="shared" si="27"/>
        <v/>
      </c>
      <c r="BI16" s="23">
        <f t="shared" si="34"/>
        <v>2.7</v>
      </c>
      <c r="BJ16" s="23">
        <f t="shared" si="34"/>
        <v>25.4</v>
      </c>
      <c r="BK16" s="23">
        <f t="shared" si="34"/>
        <v>1</v>
      </c>
      <c r="BL16" s="23">
        <f t="shared" si="34"/>
        <v>4.2187500000000003E-2</v>
      </c>
      <c r="BM16" s="23">
        <f t="shared" si="34"/>
        <v>5.2</v>
      </c>
      <c r="BN16" s="23">
        <f t="shared" si="34"/>
        <v>0.86</v>
      </c>
      <c r="BO16" s="23">
        <f t="shared" si="34"/>
        <v>0.96</v>
      </c>
      <c r="BP16" s="23">
        <f t="shared" si="34"/>
        <v>1.3</v>
      </c>
      <c r="BQ16" s="23">
        <f t="shared" si="11"/>
        <v>0.16</v>
      </c>
      <c r="BR16" s="23">
        <f t="shared" si="34"/>
        <v>1E-3</v>
      </c>
      <c r="BS16" s="23">
        <f t="shared" si="34"/>
        <v>1E-3</v>
      </c>
      <c r="BT16" s="23">
        <f t="shared" si="34"/>
        <v>1E-3</v>
      </c>
      <c r="BU16" s="23">
        <f t="shared" si="34"/>
        <v>2</v>
      </c>
      <c r="BV16" s="23">
        <f t="shared" si="34"/>
        <v>7.62</v>
      </c>
      <c r="BW16" s="23">
        <f t="shared" si="34"/>
        <v>8.4823001646924414</v>
      </c>
      <c r="BX16" s="23">
        <f t="shared" si="34"/>
        <v>1.032</v>
      </c>
      <c r="BY16" s="23">
        <f t="shared" si="12"/>
        <v>16.472938190747662</v>
      </c>
      <c r="BZ16" s="23">
        <f t="shared" si="11"/>
        <v>0.1</v>
      </c>
      <c r="CA16" s="26">
        <f>MATCH($AZ16,'Package Dimensions'!$B:$B,0)-2</f>
        <v>4</v>
      </c>
      <c r="CB16" s="26">
        <f t="shared" si="28"/>
        <v>4</v>
      </c>
      <c r="CC16" s="26">
        <f t="shared" si="29"/>
        <v>4</v>
      </c>
      <c r="CD16" s="26">
        <f t="shared" si="13"/>
        <v>4</v>
      </c>
      <c r="CE16" s="26">
        <f t="shared" si="13"/>
        <v>1</v>
      </c>
      <c r="CF16" s="26">
        <f t="shared" si="14"/>
        <v>4</v>
      </c>
      <c r="CG16" s="26">
        <f t="shared" si="15"/>
        <v>1</v>
      </c>
      <c r="CH16" s="26">
        <f t="shared" si="30"/>
        <v>4</v>
      </c>
      <c r="CI16" s="28"/>
      <c r="CJ16" s="29"/>
      <c r="CK16" s="45">
        <f t="array" ref="CK16">IFERROR(MATCH(FALSE,$A16:$AX16=Sheet1!$A16:$AX16,0),0)</f>
        <v>0</v>
      </c>
    </row>
    <row r="17" spans="1:89">
      <c r="A17" s="30" t="s">
        <v>54</v>
      </c>
      <c r="B17" s="23" t="str">
        <f t="shared" si="17"/>
        <v>DO-35 AXIAL-0.25 Glass</v>
      </c>
      <c r="C17" s="23" t="str">
        <f t="shared" si="18"/>
        <v>$C</v>
      </c>
      <c r="D17" s="23">
        <f t="shared" si="0"/>
        <v>16777215</v>
      </c>
      <c r="E17" s="23" t="str">
        <f t="shared" si="1"/>
        <v>=2mm</v>
      </c>
      <c r="F17" s="23" t="str">
        <f t="shared" si="1"/>
        <v>=28mm</v>
      </c>
      <c r="G17" s="23" t="str">
        <f t="shared" si="19"/>
        <v>=1mm</v>
      </c>
      <c r="H17" s="23" t="str">
        <f t="shared" si="33"/>
        <v>=0.25mm</v>
      </c>
      <c r="I17" s="23" t="str">
        <f t="shared" si="33"/>
        <v>=4mm</v>
      </c>
      <c r="J17" s="23" t="str">
        <f t="shared" si="33"/>
        <v>=0.5mm</v>
      </c>
      <c r="K17" s="23" t="str">
        <f t="shared" si="33"/>
        <v>=1mm</v>
      </c>
      <c r="L17" s="23" t="str">
        <f t="shared" si="33"/>
        <v>=1.3mm</v>
      </c>
      <c r="M17" s="23" t="str">
        <f t="shared" si="33"/>
        <v>=0.1mm</v>
      </c>
      <c r="N17" s="23" t="str">
        <f t="shared" si="33"/>
        <v>=2mm</v>
      </c>
      <c r="O17" s="23" t="str">
        <f t="shared" si="20"/>
        <v>=6.35mm</v>
      </c>
      <c r="P17" s="23" t="str">
        <f t="shared" si="3"/>
        <v>SOLIDWORKS Materials:Glass</v>
      </c>
      <c r="Q17" s="26"/>
      <c r="R17" s="25" t="str">
        <f t="shared" si="22"/>
        <v xml:space="preserve">AXIAL-0.25 </v>
      </c>
      <c r="S17" s="23" t="str">
        <f>IF($AY17,INDEX(PkgTable,$CA17,MATCH(S$2,PkgTblHdr,0)),"")</f>
        <v>U</v>
      </c>
      <c r="T17" s="23" t="str">
        <f>IF($AY17,INDEX(PkgTable,$CA17,MATCH(T$2,PkgTblHdr,0)),"")</f>
        <v>U</v>
      </c>
      <c r="U17" s="23" t="str">
        <f>IF($AY17,INDEX(PkgTable,$CA17,MATCH(U$2,PkgTblHdr,0)),"")</f>
        <v>S</v>
      </c>
      <c r="V17" s="23" t="str">
        <f>IF($AY17,INDEX(PkgTable,$CA17,MATCH(V$2,PkgTblHdr,0)),"")</f>
        <v>U</v>
      </c>
      <c r="W17" s="23" t="str">
        <f>IF($AY17,INDEX(PkgTable,$CA17,MATCH(W$2,PkgTblHdr,0)),"")</f>
        <v>S</v>
      </c>
      <c r="X17" s="23" t="str">
        <f>IF($AY17,INDEX(PkgTable,$CA17,MATCH(X$2,PkgTblHdr,0)),"")</f>
        <v>U</v>
      </c>
      <c r="Y17" s="23" t="str">
        <f>IF($AY17,INDEX(PkgTable,$CA17,MATCH(Y$2,PkgTblHdr,0)),"")</f>
        <v>S</v>
      </c>
      <c r="Z17" s="23" t="str">
        <f>IF($AY17,INDEX(PkgTable,$CA17,MATCH(Z$2,PkgTblHdr,0)),"")</f>
        <v>U</v>
      </c>
      <c r="AA17" s="23" t="str">
        <f>IF($AY17,INDEX(PkgTable,$CA17,MATCH(AA$2,PkgTblHdr,0)),"")</f>
        <v>S</v>
      </c>
      <c r="AB17" s="23" t="str">
        <f>IF($AY17,INDEX(PkgTable,$CA17,MATCH(AB$2,PkgTblHdr,0)),"")</f>
        <v>U</v>
      </c>
      <c r="AC17" s="23" t="str">
        <f>IF($AY17,INDEX(PkgTable,$CA17,MATCH(AC$2,PkgTblHdr,0)),"")</f>
        <v>S</v>
      </c>
      <c r="AD17" s="23" t="str">
        <f>IF($AY17,INDEX(PkgTable,$CA17,MATCH(AD$2,PkgTblHdr,0)),"")</f>
        <v>S</v>
      </c>
      <c r="AE17" s="23" t="str">
        <f>IF($AY17,INDEX(PkgTable,$CA17,MATCH(AE$2,PkgTblHdr,0)),"")</f>
        <v>S</v>
      </c>
      <c r="AF17" s="23" t="s">
        <v>17</v>
      </c>
      <c r="AG17" s="23" t="str">
        <f t="shared" si="4"/>
        <v>=0.4mm</v>
      </c>
      <c r="AH17" s="23" t="str">
        <f t="shared" si="4"/>
        <v>=0.4mm</v>
      </c>
      <c r="AI17" s="23" t="str">
        <f t="shared" si="4"/>
        <v>=6.28318530717959mm</v>
      </c>
      <c r="AJ17" s="23" t="str">
        <f t="shared" si="4"/>
        <v>=0.6mm</v>
      </c>
      <c r="AK17" s="23" t="str">
        <f t="shared" si="23"/>
        <v>U</v>
      </c>
      <c r="AL17" s="23" t="str">
        <f t="shared" si="5"/>
        <v>U</v>
      </c>
      <c r="AM17" s="23" t="str">
        <f t="shared" si="5"/>
        <v>U</v>
      </c>
      <c r="AN17" s="23" t="str">
        <f t="shared" si="6"/>
        <v>=0.16mm</v>
      </c>
      <c r="AO17" s="23" t="str">
        <f t="shared" si="6"/>
        <v>=0.2mm</v>
      </c>
      <c r="AP17" s="23"/>
      <c r="AQ17" s="23"/>
      <c r="AR17" s="23"/>
      <c r="AS17" s="23"/>
      <c r="AT17" s="23"/>
      <c r="AU17" s="23"/>
      <c r="AV17" s="23"/>
      <c r="AW17" s="26"/>
      <c r="AX17" s="43"/>
      <c r="AY17" s="26" t="b">
        <f t="shared" si="24"/>
        <v>1</v>
      </c>
      <c r="AZ17" s="26" t="str">
        <f t="shared" si="7"/>
        <v>DO-35</v>
      </c>
      <c r="BA17" s="25">
        <f t="shared" si="8"/>
        <v>250</v>
      </c>
      <c r="BB17" s="27">
        <f t="shared" si="8"/>
        <v>100</v>
      </c>
      <c r="BC17" s="25">
        <f t="shared" si="25"/>
        <v>250</v>
      </c>
      <c r="BD17" s="28">
        <f t="shared" si="9"/>
        <v>1</v>
      </c>
      <c r="BE17" s="28">
        <f t="shared" si="9"/>
        <v>5</v>
      </c>
      <c r="BF17" s="28">
        <f t="shared" si="26"/>
        <v>1</v>
      </c>
      <c r="BG17" s="25" t="str">
        <f t="shared" si="10"/>
        <v xml:space="preserve">AXIAL-0.25 </v>
      </c>
      <c r="BH17" s="25" t="str">
        <f t="shared" si="27"/>
        <v/>
      </c>
      <c r="BI17" s="23">
        <f t="shared" si="34"/>
        <v>2</v>
      </c>
      <c r="BJ17" s="23">
        <f t="shared" si="34"/>
        <v>28</v>
      </c>
      <c r="BK17" s="23">
        <f t="shared" si="34"/>
        <v>1</v>
      </c>
      <c r="BL17" s="23">
        <f t="shared" si="34"/>
        <v>0.25</v>
      </c>
      <c r="BM17" s="23">
        <f t="shared" si="34"/>
        <v>4</v>
      </c>
      <c r="BN17" s="23">
        <f t="shared" si="34"/>
        <v>0.5</v>
      </c>
      <c r="BO17" s="23">
        <f t="shared" si="34"/>
        <v>1</v>
      </c>
      <c r="BP17" s="23">
        <f t="shared" si="34"/>
        <v>1.3</v>
      </c>
      <c r="BQ17" s="23">
        <f t="shared" si="11"/>
        <v>0.16</v>
      </c>
      <c r="BR17" s="23">
        <f t="shared" si="34"/>
        <v>0.4</v>
      </c>
      <c r="BS17" s="23">
        <f t="shared" si="34"/>
        <v>0.4</v>
      </c>
      <c r="BT17" s="23">
        <f t="shared" si="34"/>
        <v>0.1</v>
      </c>
      <c r="BU17" s="23">
        <f t="shared" si="34"/>
        <v>2</v>
      </c>
      <c r="BV17" s="23">
        <f t="shared" si="34"/>
        <v>6.35</v>
      </c>
      <c r="BW17" s="23">
        <f t="shared" si="34"/>
        <v>6.2831853071795862</v>
      </c>
      <c r="BX17" s="23">
        <f t="shared" si="34"/>
        <v>0.6</v>
      </c>
      <c r="BY17" s="23">
        <f t="shared" si="12"/>
        <v>23.082522203923062</v>
      </c>
      <c r="BZ17" s="23">
        <f t="shared" si="11"/>
        <v>0.2</v>
      </c>
      <c r="CA17" s="26">
        <f>MATCH($AZ17,'Package Dimensions'!$B:$B,0)-2</f>
        <v>5</v>
      </c>
      <c r="CB17" s="26">
        <f t="shared" si="28"/>
        <v>10</v>
      </c>
      <c r="CC17" s="26">
        <f t="shared" si="29"/>
        <v>1</v>
      </c>
      <c r="CD17" s="26">
        <f t="shared" si="13"/>
        <v>2</v>
      </c>
      <c r="CE17" s="26">
        <f t="shared" si="13"/>
        <v>5</v>
      </c>
      <c r="CF17" s="26">
        <f t="shared" si="14"/>
        <v>1</v>
      </c>
      <c r="CG17" s="26">
        <f t="shared" si="15"/>
        <v>1</v>
      </c>
      <c r="CH17" s="26">
        <f t="shared" si="30"/>
        <v>10</v>
      </c>
      <c r="CI17" s="28"/>
      <c r="CJ17" s="31"/>
      <c r="CK17" s="45">
        <f t="array" ref="CK17">IFERROR(MATCH(FALSE,$A17:$AX17=Sheet1!$A17:$AX17,0),0)</f>
        <v>0</v>
      </c>
    </row>
    <row r="18" spans="1:89">
      <c r="A18" s="22" t="str">
        <f t="shared" ref="A18:A26" si="35">TRIM($AZ18&amp;" "&amp;$BG18&amp;$BH18)</f>
        <v>DO-35 AXIAL-0.25 [05.0]</v>
      </c>
      <c r="B18" s="23" t="str">
        <f t="shared" si="17"/>
        <v>DO-35 AXIAL-0.25 [05.0] Glass</v>
      </c>
      <c r="C18" s="23" t="str">
        <f t="shared" si="18"/>
        <v>$P</v>
      </c>
      <c r="D18" s="23">
        <f t="shared" si="0"/>
        <v>16777215</v>
      </c>
      <c r="E18" s="23" t="str">
        <f t="shared" si="1"/>
        <v>=2mm</v>
      </c>
      <c r="F18" s="23" t="str">
        <f t="shared" si="1"/>
        <v>=28mm</v>
      </c>
      <c r="G18" s="23" t="str">
        <f t="shared" si="19"/>
        <v>=5mm</v>
      </c>
      <c r="H18" s="23" t="str">
        <f t="shared" si="33"/>
        <v>=0.25mm</v>
      </c>
      <c r="I18" s="23" t="str">
        <f t="shared" si="33"/>
        <v>=4mm</v>
      </c>
      <c r="J18" s="23" t="str">
        <f t="shared" si="33"/>
        <v>=0.5mm</v>
      </c>
      <c r="K18" s="23" t="str">
        <f t="shared" si="33"/>
        <v>=1mm</v>
      </c>
      <c r="L18" s="23" t="str">
        <f t="shared" si="33"/>
        <v>=1.3mm</v>
      </c>
      <c r="M18" s="23" t="str">
        <f t="shared" si="33"/>
        <v>=0.1mm</v>
      </c>
      <c r="N18" s="23" t="str">
        <f t="shared" si="33"/>
        <v>=2mm</v>
      </c>
      <c r="O18" s="23" t="str">
        <f t="shared" si="20"/>
        <v>=6.35mm</v>
      </c>
      <c r="P18" s="23" t="str">
        <f t="shared" si="3"/>
        <v>SOLIDWORKS Materials:Glass</v>
      </c>
      <c r="Q18" s="26" t="str">
        <f>IF(ISBLANK($Q17),$A17,$Q17)</f>
        <v>DO-35</v>
      </c>
      <c r="R18" s="25" t="str">
        <f t="shared" si="22"/>
        <v xml:space="preserve">AXIAL-0.25 </v>
      </c>
      <c r="S18" s="23" t="str">
        <f>IF($AY18,INDEX(PkgTable,$CA18,MATCH(S$2,PkgTblHdr,0)),"")</f>
        <v/>
      </c>
      <c r="T18" s="23" t="str">
        <f>IF($AY18,INDEX(PkgTable,$CA18,MATCH(T$2,PkgTblHdr,0)),"")</f>
        <v/>
      </c>
      <c r="U18" s="23" t="str">
        <f>IF($AY18,INDEX(PkgTable,$CA18,MATCH(U$2,PkgTblHdr,0)),"")</f>
        <v/>
      </c>
      <c r="V18" s="23" t="str">
        <f>IF($AY18,INDEX(PkgTable,$CA18,MATCH(V$2,PkgTblHdr,0)),"")</f>
        <v/>
      </c>
      <c r="W18" s="23" t="str">
        <f>IF($AY18,INDEX(PkgTable,$CA18,MATCH(W$2,PkgTblHdr,0)),"")</f>
        <v/>
      </c>
      <c r="X18" s="23" t="str">
        <f>IF($AY18,INDEX(PkgTable,$CA18,MATCH(X$2,PkgTblHdr,0)),"")</f>
        <v/>
      </c>
      <c r="Y18" s="23" t="str">
        <f>IF($AY18,INDEX(PkgTable,$CA18,MATCH(Y$2,PkgTblHdr,0)),"")</f>
        <v/>
      </c>
      <c r="Z18" s="23" t="str">
        <f>IF($AY18,INDEX(PkgTable,$CA18,MATCH(Z$2,PkgTblHdr,0)),"")</f>
        <v/>
      </c>
      <c r="AA18" s="23" t="str">
        <f>IF($AY18,INDEX(PkgTable,$CA18,MATCH(AA$2,PkgTblHdr,0)),"")</f>
        <v/>
      </c>
      <c r="AB18" s="23" t="str">
        <f>IF($AY18,INDEX(PkgTable,$CA18,MATCH(AB$2,PkgTblHdr,0)),"")</f>
        <v/>
      </c>
      <c r="AC18" s="23" t="str">
        <f>IF($AY18,INDEX(PkgTable,$CA18,MATCH(AC$2,PkgTblHdr,0)),"")</f>
        <v/>
      </c>
      <c r="AD18" s="23" t="str">
        <f>IF($AY18,INDEX(PkgTable,$CA18,MATCH(AD$2,PkgTblHdr,0)),"")</f>
        <v/>
      </c>
      <c r="AE18" s="23" t="str">
        <f>IF($AY18,INDEX(PkgTable,$CA18,MATCH(AE$2,PkgTblHdr,0)),"")</f>
        <v/>
      </c>
      <c r="AF18" s="23"/>
      <c r="AG18" s="23" t="str">
        <f t="shared" si="4"/>
        <v>=0.4mm</v>
      </c>
      <c r="AH18" s="23" t="str">
        <f t="shared" si="4"/>
        <v>=0.4mm</v>
      </c>
      <c r="AI18" s="23" t="str">
        <f t="shared" si="4"/>
        <v>=6.28318530717959mm</v>
      </c>
      <c r="AJ18" s="23" t="str">
        <f t="shared" si="4"/>
        <v>=0.6mm</v>
      </c>
      <c r="AK18" s="23" t="str">
        <f t="shared" si="23"/>
        <v/>
      </c>
      <c r="AL18" s="23" t="str">
        <f t="shared" si="5"/>
        <v/>
      </c>
      <c r="AM18" s="23" t="str">
        <f t="shared" si="5"/>
        <v/>
      </c>
      <c r="AN18" s="23" t="str">
        <f t="shared" si="6"/>
        <v>=0.16mm</v>
      </c>
      <c r="AO18" s="23" t="str">
        <f t="shared" si="6"/>
        <v>=0.2mm</v>
      </c>
      <c r="AP18" s="24"/>
      <c r="AQ18" s="24"/>
      <c r="AR18" s="24"/>
      <c r="AS18" s="24"/>
      <c r="AT18" s="24"/>
      <c r="AU18" s="24"/>
      <c r="AV18" s="24"/>
      <c r="AW18" s="26"/>
      <c r="AX18" s="43"/>
      <c r="AY18" s="26" t="b">
        <f t="shared" si="24"/>
        <v>0</v>
      </c>
      <c r="AZ18" s="26" t="str">
        <f t="shared" si="7"/>
        <v>DO-35</v>
      </c>
      <c r="BA18" s="25">
        <f t="shared" si="8"/>
        <v>250</v>
      </c>
      <c r="BB18" s="27">
        <f t="shared" si="8"/>
        <v>100</v>
      </c>
      <c r="BC18" s="25">
        <f t="shared" si="25"/>
        <v>250</v>
      </c>
      <c r="BD18" s="28">
        <f t="shared" si="9"/>
        <v>1</v>
      </c>
      <c r="BE18" s="28">
        <f t="shared" si="9"/>
        <v>5</v>
      </c>
      <c r="BF18" s="28">
        <f t="shared" si="26"/>
        <v>5</v>
      </c>
      <c r="BG18" s="25" t="str">
        <f t="shared" ref="BG18:BG26" si="36">"AXIAL-"&amp;TEXT($BC18/1000,"0.0##")&amp;" "</f>
        <v xml:space="preserve">AXIAL-0.25 </v>
      </c>
      <c r="BH18" s="25" t="str">
        <f t="shared" si="27"/>
        <v xml:space="preserve">[05.0] </v>
      </c>
      <c r="BI18" s="23">
        <f t="shared" si="34"/>
        <v>2</v>
      </c>
      <c r="BJ18" s="23">
        <f t="shared" si="34"/>
        <v>28</v>
      </c>
      <c r="BK18" s="23">
        <f t="shared" si="34"/>
        <v>1</v>
      </c>
      <c r="BL18" s="23">
        <f t="shared" si="34"/>
        <v>0.25</v>
      </c>
      <c r="BM18" s="23">
        <f t="shared" si="34"/>
        <v>4</v>
      </c>
      <c r="BN18" s="23">
        <f t="shared" si="34"/>
        <v>0.5</v>
      </c>
      <c r="BO18" s="23">
        <f t="shared" si="34"/>
        <v>1</v>
      </c>
      <c r="BP18" s="23">
        <f t="shared" si="34"/>
        <v>1.3</v>
      </c>
      <c r="BQ18" s="23">
        <f t="shared" si="11"/>
        <v>0.16</v>
      </c>
      <c r="BR18" s="23">
        <f t="shared" si="34"/>
        <v>0.4</v>
      </c>
      <c r="BS18" s="23">
        <f t="shared" si="34"/>
        <v>0.4</v>
      </c>
      <c r="BT18" s="23">
        <f t="shared" si="34"/>
        <v>0.1</v>
      </c>
      <c r="BU18" s="23">
        <f t="shared" si="34"/>
        <v>2</v>
      </c>
      <c r="BV18" s="23">
        <f t="shared" si="34"/>
        <v>6.35</v>
      </c>
      <c r="BW18" s="23">
        <f t="shared" si="34"/>
        <v>6.2831853071795862</v>
      </c>
      <c r="BX18" s="23">
        <f t="shared" si="34"/>
        <v>0.6</v>
      </c>
      <c r="BY18" s="23">
        <f t="shared" si="12"/>
        <v>19.082522203923062</v>
      </c>
      <c r="BZ18" s="23">
        <f t="shared" si="11"/>
        <v>0.2</v>
      </c>
      <c r="CA18" s="26">
        <f>MATCH($AZ18,'Package Dimensions'!$B:$B,0)-2</f>
        <v>5</v>
      </c>
      <c r="CB18" s="26">
        <f t="shared" si="28"/>
        <v>10</v>
      </c>
      <c r="CC18" s="26">
        <f t="shared" si="29"/>
        <v>2</v>
      </c>
      <c r="CD18" s="26">
        <f t="shared" si="13"/>
        <v>2</v>
      </c>
      <c r="CE18" s="26">
        <f t="shared" si="13"/>
        <v>5</v>
      </c>
      <c r="CF18" s="26">
        <f t="shared" si="14"/>
        <v>1</v>
      </c>
      <c r="CG18" s="26">
        <f t="shared" si="15"/>
        <v>2</v>
      </c>
      <c r="CH18" s="26">
        <f t="shared" si="30"/>
        <v>10</v>
      </c>
      <c r="CI18" s="28"/>
      <c r="CJ18" s="29"/>
      <c r="CK18" s="45">
        <f t="array" ref="CK18">IFERROR(MATCH(FALSE,$A18:$AX18=Sheet1!$A18:$AX18,0),0)</f>
        <v>0</v>
      </c>
    </row>
    <row r="19" spans="1:89">
      <c r="A19" s="22" t="str">
        <f t="shared" si="35"/>
        <v>DO-35 AXIAL-0.25 [10.0]</v>
      </c>
      <c r="B19" s="23" t="str">
        <f t="shared" si="17"/>
        <v>DO-35 AXIAL-0.25 [10.0] Glass</v>
      </c>
      <c r="C19" s="23" t="str">
        <f t="shared" si="18"/>
        <v>$P</v>
      </c>
      <c r="D19" s="23">
        <f t="shared" si="0"/>
        <v>16777215</v>
      </c>
      <c r="E19" s="23" t="str">
        <f t="shared" si="1"/>
        <v>=2mm</v>
      </c>
      <c r="F19" s="23" t="str">
        <f t="shared" si="1"/>
        <v>=28mm</v>
      </c>
      <c r="G19" s="23" t="str">
        <f t="shared" si="19"/>
        <v>=10mm</v>
      </c>
      <c r="H19" s="23" t="str">
        <f t="shared" si="33"/>
        <v>=0.25mm</v>
      </c>
      <c r="I19" s="23" t="str">
        <f t="shared" si="33"/>
        <v>=4mm</v>
      </c>
      <c r="J19" s="23" t="str">
        <f t="shared" si="33"/>
        <v>=0.5mm</v>
      </c>
      <c r="K19" s="23" t="str">
        <f t="shared" si="33"/>
        <v>=1mm</v>
      </c>
      <c r="L19" s="23" t="str">
        <f t="shared" si="33"/>
        <v>=1.3mm</v>
      </c>
      <c r="M19" s="23" t="str">
        <f t="shared" si="33"/>
        <v>=0.1mm</v>
      </c>
      <c r="N19" s="23" t="str">
        <f t="shared" si="33"/>
        <v>=2mm</v>
      </c>
      <c r="O19" s="23" t="str">
        <f t="shared" si="20"/>
        <v>=6.35mm</v>
      </c>
      <c r="P19" s="23" t="str">
        <f t="shared" si="3"/>
        <v>SOLIDWORKS Materials:Glass</v>
      </c>
      <c r="Q19" s="26" t="str">
        <f t="shared" ref="Q19:Q26" si="37">IF(ISBLANK($Q18),$A18,$Q18)</f>
        <v>DO-35</v>
      </c>
      <c r="R19" s="25" t="str">
        <f t="shared" si="22"/>
        <v xml:space="preserve">AXIAL-0.25 </v>
      </c>
      <c r="S19" s="23" t="str">
        <f>IF($AY19,INDEX(PkgTable,$CA19,MATCH(S$2,PkgTblHdr,0)),"")</f>
        <v/>
      </c>
      <c r="T19" s="23" t="str">
        <f>IF($AY19,INDEX(PkgTable,$CA19,MATCH(T$2,PkgTblHdr,0)),"")</f>
        <v/>
      </c>
      <c r="U19" s="23" t="str">
        <f>IF($AY19,INDEX(PkgTable,$CA19,MATCH(U$2,PkgTblHdr,0)),"")</f>
        <v/>
      </c>
      <c r="V19" s="23" t="str">
        <f>IF($AY19,INDEX(PkgTable,$CA19,MATCH(V$2,PkgTblHdr,0)),"")</f>
        <v/>
      </c>
      <c r="W19" s="23" t="str">
        <f>IF($AY19,INDEX(PkgTable,$CA19,MATCH(W$2,PkgTblHdr,0)),"")</f>
        <v/>
      </c>
      <c r="X19" s="23" t="str">
        <f>IF($AY19,INDEX(PkgTable,$CA19,MATCH(X$2,PkgTblHdr,0)),"")</f>
        <v/>
      </c>
      <c r="Y19" s="23" t="str">
        <f>IF($AY19,INDEX(PkgTable,$CA19,MATCH(Y$2,PkgTblHdr,0)),"")</f>
        <v/>
      </c>
      <c r="Z19" s="23" t="str">
        <f>IF($AY19,INDEX(PkgTable,$CA19,MATCH(Z$2,PkgTblHdr,0)),"")</f>
        <v/>
      </c>
      <c r="AA19" s="23" t="str">
        <f>IF($AY19,INDEX(PkgTable,$CA19,MATCH(AA$2,PkgTblHdr,0)),"")</f>
        <v/>
      </c>
      <c r="AB19" s="23" t="str">
        <f>IF($AY19,INDEX(PkgTable,$CA19,MATCH(AB$2,PkgTblHdr,0)),"")</f>
        <v/>
      </c>
      <c r="AC19" s="23" t="str">
        <f>IF($AY19,INDEX(PkgTable,$CA19,MATCH(AC$2,PkgTblHdr,0)),"")</f>
        <v/>
      </c>
      <c r="AD19" s="23" t="str">
        <f>IF($AY19,INDEX(PkgTable,$CA19,MATCH(AD$2,PkgTblHdr,0)),"")</f>
        <v/>
      </c>
      <c r="AE19" s="23" t="str">
        <f>IF($AY19,INDEX(PkgTable,$CA19,MATCH(AE$2,PkgTblHdr,0)),"")</f>
        <v/>
      </c>
      <c r="AF19" s="23"/>
      <c r="AG19" s="23" t="str">
        <f t="shared" si="4"/>
        <v>=0.4mm</v>
      </c>
      <c r="AH19" s="23" t="str">
        <f t="shared" si="4"/>
        <v>=0.4mm</v>
      </c>
      <c r="AI19" s="23" t="str">
        <f t="shared" si="4"/>
        <v>=6.28318530717959mm</v>
      </c>
      <c r="AJ19" s="23" t="str">
        <f t="shared" si="4"/>
        <v>=0.6mm</v>
      </c>
      <c r="AK19" s="23" t="str">
        <f t="shared" si="23"/>
        <v/>
      </c>
      <c r="AL19" s="23" t="str">
        <f t="shared" si="23"/>
        <v/>
      </c>
      <c r="AM19" s="23" t="str">
        <f t="shared" si="23"/>
        <v/>
      </c>
      <c r="AN19" s="23" t="str">
        <f t="shared" si="6"/>
        <v>=0.16mm</v>
      </c>
      <c r="AO19" s="23" t="str">
        <f t="shared" si="6"/>
        <v>=0.2mm</v>
      </c>
      <c r="AP19" s="24"/>
      <c r="AQ19" s="24"/>
      <c r="AR19" s="24"/>
      <c r="AS19" s="24"/>
      <c r="AT19" s="24"/>
      <c r="AU19" s="24"/>
      <c r="AV19" s="24"/>
      <c r="AW19" s="26"/>
      <c r="AX19" s="43"/>
      <c r="AY19" s="26" t="b">
        <f t="shared" si="24"/>
        <v>0</v>
      </c>
      <c r="AZ19" s="26" t="str">
        <f t="shared" si="7"/>
        <v>DO-35</v>
      </c>
      <c r="BA19" s="25">
        <f t="shared" ref="BA19:BB26" si="38">INDEX(PkgTable,$CA19,MATCH(BA$2,PkgTblHdr,0))</f>
        <v>250</v>
      </c>
      <c r="BB19" s="27">
        <f t="shared" si="38"/>
        <v>100</v>
      </c>
      <c r="BC19" s="25">
        <f t="shared" si="25"/>
        <v>250</v>
      </c>
      <c r="BD19" s="28">
        <f t="shared" ref="BD19:BE26" si="39">INDEX(PkgTable,$CA19,MATCH(BD$2,PkgTblHdr,0))</f>
        <v>1</v>
      </c>
      <c r="BE19" s="28">
        <f t="shared" si="39"/>
        <v>5</v>
      </c>
      <c r="BF19" s="28">
        <f t="shared" si="26"/>
        <v>10</v>
      </c>
      <c r="BG19" s="25" t="str">
        <f t="shared" si="36"/>
        <v xml:space="preserve">AXIAL-0.25 </v>
      </c>
      <c r="BH19" s="25" t="str">
        <f t="shared" si="27"/>
        <v xml:space="preserve">[10.0] </v>
      </c>
      <c r="BI19" s="23">
        <f t="shared" si="34"/>
        <v>2</v>
      </c>
      <c r="BJ19" s="23">
        <f t="shared" si="34"/>
        <v>28</v>
      </c>
      <c r="BK19" s="23">
        <f t="shared" si="34"/>
        <v>1</v>
      </c>
      <c r="BL19" s="23">
        <f t="shared" si="34"/>
        <v>0.25</v>
      </c>
      <c r="BM19" s="23">
        <f t="shared" si="34"/>
        <v>4</v>
      </c>
      <c r="BN19" s="23">
        <f t="shared" si="34"/>
        <v>0.5</v>
      </c>
      <c r="BO19" s="23">
        <f t="shared" si="34"/>
        <v>1</v>
      </c>
      <c r="BP19" s="23">
        <f t="shared" si="34"/>
        <v>1.3</v>
      </c>
      <c r="BQ19" s="23">
        <f t="shared" si="34"/>
        <v>0.16</v>
      </c>
      <c r="BR19" s="23">
        <f t="shared" si="34"/>
        <v>0.4</v>
      </c>
      <c r="BS19" s="23">
        <f t="shared" si="34"/>
        <v>0.4</v>
      </c>
      <c r="BT19" s="23">
        <f t="shared" si="34"/>
        <v>0.1</v>
      </c>
      <c r="BU19" s="23">
        <f t="shared" si="34"/>
        <v>2</v>
      </c>
      <c r="BV19" s="23">
        <f t="shared" si="34"/>
        <v>6.35</v>
      </c>
      <c r="BW19" s="23">
        <f t="shared" si="34"/>
        <v>6.2831853071795862</v>
      </c>
      <c r="BX19" s="23">
        <f t="shared" si="34"/>
        <v>0.6</v>
      </c>
      <c r="BY19" s="23">
        <f t="shared" si="12"/>
        <v>14.082522203923062</v>
      </c>
      <c r="BZ19" s="23">
        <f t="shared" ref="BZ19:BZ26" si="40">INDEX(PkgTable,$CA19,MATCH(BZ$2,PkgTblHdr,0))</f>
        <v>0.2</v>
      </c>
      <c r="CA19" s="26">
        <f>MATCH($AZ19,'Package Dimensions'!$B:$B,0)-2</f>
        <v>5</v>
      </c>
      <c r="CB19" s="26">
        <f t="shared" si="28"/>
        <v>10</v>
      </c>
      <c r="CC19" s="26">
        <f t="shared" si="29"/>
        <v>3</v>
      </c>
      <c r="CD19" s="26">
        <f t="shared" ref="CD19:CE26" si="41">INDEX(PkgTable,$CA19,MATCH(CD$2,PkgTblHdr,0))</f>
        <v>2</v>
      </c>
      <c r="CE19" s="26">
        <f t="shared" si="41"/>
        <v>5</v>
      </c>
      <c r="CF19" s="26">
        <f t="shared" si="14"/>
        <v>1</v>
      </c>
      <c r="CG19" s="26">
        <f t="shared" si="15"/>
        <v>3</v>
      </c>
      <c r="CH19" s="26">
        <f t="shared" si="30"/>
        <v>10</v>
      </c>
      <c r="CI19" s="26"/>
      <c r="CJ19" s="29"/>
      <c r="CK19" s="45">
        <f t="array" ref="CK19">IFERROR(MATCH(FALSE,$A19:$AX19=Sheet1!$A19:$AX19,0),0)</f>
        <v>0</v>
      </c>
    </row>
    <row r="20" spans="1:89">
      <c r="A20" s="22" t="str">
        <f t="shared" si="35"/>
        <v>DO-35 AXIAL-0.25 [15.0]</v>
      </c>
      <c r="B20" s="23" t="str">
        <f t="shared" si="17"/>
        <v>DO-35 AXIAL-0.25 [15.0] Glass</v>
      </c>
      <c r="C20" s="23" t="str">
        <f t="shared" si="18"/>
        <v>$P</v>
      </c>
      <c r="D20" s="23">
        <f t="shared" si="0"/>
        <v>16777215</v>
      </c>
      <c r="E20" s="23" t="str">
        <f t="shared" si="1"/>
        <v>=2mm</v>
      </c>
      <c r="F20" s="23" t="str">
        <f t="shared" si="1"/>
        <v>=28mm</v>
      </c>
      <c r="G20" s="23" t="str">
        <f t="shared" si="19"/>
        <v>=15mm</v>
      </c>
      <c r="H20" s="23" t="str">
        <f t="shared" si="33"/>
        <v>=0.25mm</v>
      </c>
      <c r="I20" s="23" t="str">
        <f t="shared" si="33"/>
        <v>=4mm</v>
      </c>
      <c r="J20" s="23" t="str">
        <f t="shared" si="33"/>
        <v>=0.5mm</v>
      </c>
      <c r="K20" s="23" t="str">
        <f t="shared" si="33"/>
        <v>=1mm</v>
      </c>
      <c r="L20" s="23" t="str">
        <f t="shared" si="33"/>
        <v>=1.3mm</v>
      </c>
      <c r="M20" s="23" t="str">
        <f t="shared" si="33"/>
        <v>=0.1mm</v>
      </c>
      <c r="N20" s="23" t="str">
        <f t="shared" si="33"/>
        <v>=2mm</v>
      </c>
      <c r="O20" s="23" t="str">
        <f t="shared" si="20"/>
        <v>=6.35mm</v>
      </c>
      <c r="P20" s="23" t="str">
        <f t="shared" si="3"/>
        <v>SOLIDWORKS Materials:Glass</v>
      </c>
      <c r="Q20" s="26" t="str">
        <f t="shared" si="37"/>
        <v>DO-35</v>
      </c>
      <c r="R20" s="25" t="str">
        <f t="shared" si="22"/>
        <v xml:space="preserve">AXIAL-0.25 </v>
      </c>
      <c r="S20" s="23" t="str">
        <f>IF($AY20,INDEX(PkgTable,$CA20,MATCH(S$2,PkgTblHdr,0)),"")</f>
        <v/>
      </c>
      <c r="T20" s="23" t="str">
        <f>IF($AY20,INDEX(PkgTable,$CA20,MATCH(T$2,PkgTblHdr,0)),"")</f>
        <v/>
      </c>
      <c r="U20" s="23" t="str">
        <f>IF($AY20,INDEX(PkgTable,$CA20,MATCH(U$2,PkgTblHdr,0)),"")</f>
        <v/>
      </c>
      <c r="V20" s="23" t="str">
        <f>IF($AY20,INDEX(PkgTable,$CA20,MATCH(V$2,PkgTblHdr,0)),"")</f>
        <v/>
      </c>
      <c r="W20" s="23" t="str">
        <f>IF($AY20,INDEX(PkgTable,$CA20,MATCH(W$2,PkgTblHdr,0)),"")</f>
        <v/>
      </c>
      <c r="X20" s="23" t="str">
        <f>IF($AY20,INDEX(PkgTable,$CA20,MATCH(X$2,PkgTblHdr,0)),"")</f>
        <v/>
      </c>
      <c r="Y20" s="23" t="str">
        <f>IF($AY20,INDEX(PkgTable,$CA20,MATCH(Y$2,PkgTblHdr,0)),"")</f>
        <v/>
      </c>
      <c r="Z20" s="23" t="str">
        <f>IF($AY20,INDEX(PkgTable,$CA20,MATCH(Z$2,PkgTblHdr,0)),"")</f>
        <v/>
      </c>
      <c r="AA20" s="23" t="str">
        <f>IF($AY20,INDEX(PkgTable,$CA20,MATCH(AA$2,PkgTblHdr,0)),"")</f>
        <v/>
      </c>
      <c r="AB20" s="23" t="str">
        <f>IF($AY20,INDEX(PkgTable,$CA20,MATCH(AB$2,PkgTblHdr,0)),"")</f>
        <v/>
      </c>
      <c r="AC20" s="23" t="str">
        <f>IF($AY20,INDEX(PkgTable,$CA20,MATCH(AC$2,PkgTblHdr,0)),"")</f>
        <v/>
      </c>
      <c r="AD20" s="23" t="str">
        <f>IF($AY20,INDEX(PkgTable,$CA20,MATCH(AD$2,PkgTblHdr,0)),"")</f>
        <v/>
      </c>
      <c r="AE20" s="23" t="str">
        <f>IF($AY20,INDEX(PkgTable,$CA20,MATCH(AE$2,PkgTblHdr,0)),"")</f>
        <v/>
      </c>
      <c r="AF20" s="23"/>
      <c r="AG20" s="23" t="str">
        <f t="shared" si="4"/>
        <v>=0.4mm</v>
      </c>
      <c r="AH20" s="23" t="str">
        <f t="shared" si="4"/>
        <v>=0.4mm</v>
      </c>
      <c r="AI20" s="23" t="str">
        <f t="shared" si="4"/>
        <v>=6.28318530717959mm</v>
      </c>
      <c r="AJ20" s="23" t="str">
        <f t="shared" si="4"/>
        <v>=0.6mm</v>
      </c>
      <c r="AK20" s="23" t="str">
        <f t="shared" si="23"/>
        <v/>
      </c>
      <c r="AL20" s="23" t="str">
        <f t="shared" si="23"/>
        <v/>
      </c>
      <c r="AM20" s="23" t="str">
        <f t="shared" si="23"/>
        <v/>
      </c>
      <c r="AN20" s="23" t="str">
        <f t="shared" si="6"/>
        <v>=0.16mm</v>
      </c>
      <c r="AO20" s="23" t="str">
        <f t="shared" si="6"/>
        <v>=0.2mm</v>
      </c>
      <c r="AP20" s="24"/>
      <c r="AQ20" s="24"/>
      <c r="AR20" s="24"/>
      <c r="AS20" s="24"/>
      <c r="AT20" s="24"/>
      <c r="AU20" s="24"/>
      <c r="AV20" s="24"/>
      <c r="AW20" s="26"/>
      <c r="AX20" s="43"/>
      <c r="AY20" s="26" t="b">
        <f t="shared" si="24"/>
        <v>0</v>
      </c>
      <c r="AZ20" s="26" t="str">
        <f t="shared" si="7"/>
        <v>DO-35</v>
      </c>
      <c r="BA20" s="25">
        <f t="shared" si="38"/>
        <v>250</v>
      </c>
      <c r="BB20" s="27">
        <f t="shared" si="38"/>
        <v>100</v>
      </c>
      <c r="BC20" s="25">
        <f t="shared" si="25"/>
        <v>250</v>
      </c>
      <c r="BD20" s="28">
        <f t="shared" si="39"/>
        <v>1</v>
      </c>
      <c r="BE20" s="28">
        <f t="shared" si="39"/>
        <v>5</v>
      </c>
      <c r="BF20" s="28">
        <f t="shared" si="26"/>
        <v>15</v>
      </c>
      <c r="BG20" s="25" t="str">
        <f t="shared" si="36"/>
        <v xml:space="preserve">AXIAL-0.25 </v>
      </c>
      <c r="BH20" s="25" t="str">
        <f t="shared" si="27"/>
        <v xml:space="preserve">[15.0] </v>
      </c>
      <c r="BI20" s="23">
        <f t="shared" si="34"/>
        <v>2</v>
      </c>
      <c r="BJ20" s="23">
        <f t="shared" si="34"/>
        <v>28</v>
      </c>
      <c r="BK20" s="23">
        <f t="shared" si="34"/>
        <v>1</v>
      </c>
      <c r="BL20" s="23">
        <f t="shared" si="34"/>
        <v>0.25</v>
      </c>
      <c r="BM20" s="23">
        <f t="shared" si="34"/>
        <v>4</v>
      </c>
      <c r="BN20" s="23">
        <f t="shared" si="34"/>
        <v>0.5</v>
      </c>
      <c r="BO20" s="23">
        <f t="shared" si="34"/>
        <v>1</v>
      </c>
      <c r="BP20" s="23">
        <f t="shared" si="34"/>
        <v>1.3</v>
      </c>
      <c r="BQ20" s="23">
        <f t="shared" si="34"/>
        <v>0.16</v>
      </c>
      <c r="BR20" s="23">
        <f t="shared" si="34"/>
        <v>0.4</v>
      </c>
      <c r="BS20" s="23">
        <f t="shared" si="34"/>
        <v>0.4</v>
      </c>
      <c r="BT20" s="23">
        <f t="shared" si="34"/>
        <v>0.1</v>
      </c>
      <c r="BU20" s="23">
        <f t="shared" si="34"/>
        <v>2</v>
      </c>
      <c r="BV20" s="23">
        <f t="shared" si="34"/>
        <v>6.35</v>
      </c>
      <c r="BW20" s="23">
        <f t="shared" si="34"/>
        <v>6.2831853071795862</v>
      </c>
      <c r="BX20" s="23">
        <f t="shared" si="34"/>
        <v>0.6</v>
      </c>
      <c r="BY20" s="23">
        <f t="shared" si="12"/>
        <v>9.0825222039230624</v>
      </c>
      <c r="BZ20" s="23">
        <f t="shared" si="40"/>
        <v>0.2</v>
      </c>
      <c r="CA20" s="26">
        <f>MATCH($AZ20,'Package Dimensions'!$B:$B,0)-2</f>
        <v>5</v>
      </c>
      <c r="CB20" s="26">
        <f t="shared" si="28"/>
        <v>10</v>
      </c>
      <c r="CC20" s="26">
        <f t="shared" si="29"/>
        <v>4</v>
      </c>
      <c r="CD20" s="26">
        <f t="shared" si="41"/>
        <v>2</v>
      </c>
      <c r="CE20" s="26">
        <f t="shared" si="41"/>
        <v>5</v>
      </c>
      <c r="CF20" s="26">
        <f t="shared" si="14"/>
        <v>1</v>
      </c>
      <c r="CG20" s="26">
        <f t="shared" si="15"/>
        <v>4</v>
      </c>
      <c r="CH20" s="26">
        <f t="shared" si="30"/>
        <v>10</v>
      </c>
      <c r="CI20" s="26"/>
      <c r="CJ20" s="29"/>
      <c r="CK20" s="45">
        <f t="array" ref="CK20">IFERROR(MATCH(FALSE,$A20:$AX20=Sheet1!$A20:$AX20,0),0)</f>
        <v>0</v>
      </c>
    </row>
    <row r="21" spans="1:89">
      <c r="A21" s="22" t="str">
        <f t="shared" si="35"/>
        <v>DO-35 AXIAL-0.25 [20.0]</v>
      </c>
      <c r="B21" s="23" t="str">
        <f t="shared" si="17"/>
        <v>DO-35 AXIAL-0.25 [20.0] Glass</v>
      </c>
      <c r="C21" s="23" t="str">
        <f t="shared" si="18"/>
        <v>$P</v>
      </c>
      <c r="D21" s="23">
        <f t="shared" si="0"/>
        <v>16777215</v>
      </c>
      <c r="E21" s="23" t="str">
        <f t="shared" si="1"/>
        <v>=2mm</v>
      </c>
      <c r="F21" s="23" t="str">
        <f t="shared" si="1"/>
        <v>=28mm</v>
      </c>
      <c r="G21" s="23" t="str">
        <f t="shared" si="19"/>
        <v>=20mm</v>
      </c>
      <c r="H21" s="23" t="str">
        <f t="shared" si="33"/>
        <v>=0.25mm</v>
      </c>
      <c r="I21" s="23" t="str">
        <f t="shared" si="33"/>
        <v>=4mm</v>
      </c>
      <c r="J21" s="23" t="str">
        <f t="shared" si="33"/>
        <v>=0.5mm</v>
      </c>
      <c r="K21" s="23" t="str">
        <f t="shared" si="33"/>
        <v>=1mm</v>
      </c>
      <c r="L21" s="23" t="str">
        <f t="shared" si="33"/>
        <v>=1.3mm</v>
      </c>
      <c r="M21" s="23" t="str">
        <f t="shared" si="33"/>
        <v>=0.1mm</v>
      </c>
      <c r="N21" s="23" t="str">
        <f t="shared" si="33"/>
        <v>=2mm</v>
      </c>
      <c r="O21" s="23" t="str">
        <f t="shared" si="20"/>
        <v>=6.35mm</v>
      </c>
      <c r="P21" s="23" t="str">
        <f t="shared" si="3"/>
        <v>SOLIDWORKS Materials:Glass</v>
      </c>
      <c r="Q21" s="26" t="str">
        <f t="shared" si="37"/>
        <v>DO-35</v>
      </c>
      <c r="R21" s="25" t="str">
        <f t="shared" si="22"/>
        <v xml:space="preserve">AXIAL-0.25 </v>
      </c>
      <c r="S21" s="23" t="str">
        <f>IF($AY21,INDEX(PkgTable,$CA21,MATCH(S$2,PkgTblHdr,0)),"")</f>
        <v/>
      </c>
      <c r="T21" s="23" t="str">
        <f>IF($AY21,INDEX(PkgTable,$CA21,MATCH(T$2,PkgTblHdr,0)),"")</f>
        <v/>
      </c>
      <c r="U21" s="23" t="str">
        <f>IF($AY21,INDEX(PkgTable,$CA21,MATCH(U$2,PkgTblHdr,0)),"")</f>
        <v/>
      </c>
      <c r="V21" s="23" t="str">
        <f>IF($AY21,INDEX(PkgTable,$CA21,MATCH(V$2,PkgTblHdr,0)),"")</f>
        <v/>
      </c>
      <c r="W21" s="23" t="str">
        <f>IF($AY21,INDEX(PkgTable,$CA21,MATCH(W$2,PkgTblHdr,0)),"")</f>
        <v/>
      </c>
      <c r="X21" s="23" t="str">
        <f>IF($AY21,INDEX(PkgTable,$CA21,MATCH(X$2,PkgTblHdr,0)),"")</f>
        <v/>
      </c>
      <c r="Y21" s="23" t="str">
        <f>IF($AY21,INDEX(PkgTable,$CA21,MATCH(Y$2,PkgTblHdr,0)),"")</f>
        <v/>
      </c>
      <c r="Z21" s="23" t="str">
        <f>IF($AY21,INDEX(PkgTable,$CA21,MATCH(Z$2,PkgTblHdr,0)),"")</f>
        <v/>
      </c>
      <c r="AA21" s="23" t="str">
        <f>IF($AY21,INDEX(PkgTable,$CA21,MATCH(AA$2,PkgTblHdr,0)),"")</f>
        <v/>
      </c>
      <c r="AB21" s="23" t="str">
        <f>IF($AY21,INDEX(PkgTable,$CA21,MATCH(AB$2,PkgTblHdr,0)),"")</f>
        <v/>
      </c>
      <c r="AC21" s="23" t="str">
        <f>IF($AY21,INDEX(PkgTable,$CA21,MATCH(AC$2,PkgTblHdr,0)),"")</f>
        <v/>
      </c>
      <c r="AD21" s="23" t="str">
        <f>IF($AY21,INDEX(PkgTable,$CA21,MATCH(AD$2,PkgTblHdr,0)),"")</f>
        <v/>
      </c>
      <c r="AE21" s="23" t="str">
        <f>IF($AY21,INDEX(PkgTable,$CA21,MATCH(AE$2,PkgTblHdr,0)),"")</f>
        <v/>
      </c>
      <c r="AF21" s="23"/>
      <c r="AG21" s="23" t="str">
        <f t="shared" si="4"/>
        <v>=0.4mm</v>
      </c>
      <c r="AH21" s="23" t="str">
        <f t="shared" si="4"/>
        <v>=0.4mm</v>
      </c>
      <c r="AI21" s="23" t="str">
        <f t="shared" si="4"/>
        <v>=6.28318530717959mm</v>
      </c>
      <c r="AJ21" s="23" t="str">
        <f t="shared" si="4"/>
        <v>=0.6mm</v>
      </c>
      <c r="AK21" s="23" t="str">
        <f t="shared" si="23"/>
        <v/>
      </c>
      <c r="AL21" s="23" t="str">
        <f t="shared" si="23"/>
        <v/>
      </c>
      <c r="AM21" s="23" t="str">
        <f t="shared" si="23"/>
        <v/>
      </c>
      <c r="AN21" s="23" t="str">
        <f t="shared" si="6"/>
        <v>=0.16mm</v>
      </c>
      <c r="AO21" s="23" t="str">
        <f t="shared" si="6"/>
        <v>=0.2mm</v>
      </c>
      <c r="AP21" s="24"/>
      <c r="AQ21" s="24"/>
      <c r="AR21" s="24"/>
      <c r="AS21" s="24"/>
      <c r="AT21" s="24"/>
      <c r="AU21" s="24"/>
      <c r="AV21" s="24"/>
      <c r="AW21" s="26"/>
      <c r="AX21" s="43"/>
      <c r="AY21" s="26" t="b">
        <f t="shared" si="24"/>
        <v>0</v>
      </c>
      <c r="AZ21" s="26" t="str">
        <f t="shared" si="7"/>
        <v>DO-35</v>
      </c>
      <c r="BA21" s="25">
        <f t="shared" si="38"/>
        <v>250</v>
      </c>
      <c r="BB21" s="27">
        <f t="shared" si="38"/>
        <v>100</v>
      </c>
      <c r="BC21" s="25">
        <f t="shared" si="25"/>
        <v>250</v>
      </c>
      <c r="BD21" s="28">
        <f t="shared" si="39"/>
        <v>1</v>
      </c>
      <c r="BE21" s="28">
        <f t="shared" si="39"/>
        <v>5</v>
      </c>
      <c r="BF21" s="28">
        <f t="shared" si="26"/>
        <v>20</v>
      </c>
      <c r="BG21" s="25" t="str">
        <f t="shared" si="36"/>
        <v xml:space="preserve">AXIAL-0.25 </v>
      </c>
      <c r="BH21" s="25" t="str">
        <f t="shared" si="27"/>
        <v xml:space="preserve">[20.0] </v>
      </c>
      <c r="BI21" s="23">
        <f t="shared" si="34"/>
        <v>2</v>
      </c>
      <c r="BJ21" s="23">
        <f t="shared" si="34"/>
        <v>28</v>
      </c>
      <c r="BK21" s="23">
        <f t="shared" si="34"/>
        <v>1</v>
      </c>
      <c r="BL21" s="23">
        <f t="shared" si="34"/>
        <v>0.25</v>
      </c>
      <c r="BM21" s="23">
        <f t="shared" si="34"/>
        <v>4</v>
      </c>
      <c r="BN21" s="23">
        <f t="shared" si="34"/>
        <v>0.5</v>
      </c>
      <c r="BO21" s="23">
        <f t="shared" si="34"/>
        <v>1</v>
      </c>
      <c r="BP21" s="23">
        <f t="shared" si="34"/>
        <v>1.3</v>
      </c>
      <c r="BQ21" s="23">
        <f t="shared" si="34"/>
        <v>0.16</v>
      </c>
      <c r="BR21" s="23">
        <f t="shared" si="34"/>
        <v>0.4</v>
      </c>
      <c r="BS21" s="23">
        <f t="shared" si="34"/>
        <v>0.4</v>
      </c>
      <c r="BT21" s="23">
        <f t="shared" si="34"/>
        <v>0.1</v>
      </c>
      <c r="BU21" s="23">
        <f t="shared" si="34"/>
        <v>2</v>
      </c>
      <c r="BV21" s="23">
        <f t="shared" si="34"/>
        <v>6.35</v>
      </c>
      <c r="BW21" s="23">
        <f t="shared" si="34"/>
        <v>6.2831853071795862</v>
      </c>
      <c r="BX21" s="23">
        <f t="shared" si="34"/>
        <v>0.6</v>
      </c>
      <c r="BY21" s="23">
        <f t="shared" si="12"/>
        <v>4.0825222039230615</v>
      </c>
      <c r="BZ21" s="23">
        <f t="shared" si="40"/>
        <v>0.2</v>
      </c>
      <c r="CA21" s="26">
        <f>MATCH($AZ21,'Package Dimensions'!$B:$B,0)-2</f>
        <v>5</v>
      </c>
      <c r="CB21" s="26">
        <f t="shared" si="28"/>
        <v>10</v>
      </c>
      <c r="CC21" s="26">
        <f t="shared" si="29"/>
        <v>5</v>
      </c>
      <c r="CD21" s="26">
        <f t="shared" si="41"/>
        <v>2</v>
      </c>
      <c r="CE21" s="26">
        <f t="shared" si="41"/>
        <v>5</v>
      </c>
      <c r="CF21" s="26">
        <f t="shared" si="14"/>
        <v>1</v>
      </c>
      <c r="CG21" s="26">
        <f t="shared" si="15"/>
        <v>5</v>
      </c>
      <c r="CH21" s="26">
        <f t="shared" si="30"/>
        <v>10</v>
      </c>
      <c r="CI21" s="26"/>
      <c r="CJ21" s="29"/>
      <c r="CK21" s="45">
        <f t="array" ref="CK21">IFERROR(MATCH(FALSE,$A21:$AX21=Sheet1!$A21:$AX21,0),0)</f>
        <v>0</v>
      </c>
    </row>
    <row r="22" spans="1:89">
      <c r="A22" s="22" t="str">
        <f t="shared" si="35"/>
        <v>DO-35 AXIAL-0.3</v>
      </c>
      <c r="B22" s="23" t="str">
        <f t="shared" si="17"/>
        <v>DO-35 AXIAL-0.3 Glass</v>
      </c>
      <c r="C22" s="23" t="str">
        <f t="shared" si="18"/>
        <v>$P</v>
      </c>
      <c r="D22" s="23">
        <f t="shared" si="0"/>
        <v>16777215</v>
      </c>
      <c r="E22" s="23" t="str">
        <f t="shared" si="1"/>
        <v>=2mm</v>
      </c>
      <c r="F22" s="23" t="str">
        <f t="shared" si="1"/>
        <v>=28mm</v>
      </c>
      <c r="G22" s="23" t="str">
        <f t="shared" si="19"/>
        <v>=1mm</v>
      </c>
      <c r="H22" s="23" t="str">
        <f t="shared" si="33"/>
        <v>=0.25mm</v>
      </c>
      <c r="I22" s="23" t="str">
        <f t="shared" si="33"/>
        <v>=4mm</v>
      </c>
      <c r="J22" s="23" t="str">
        <f t="shared" si="33"/>
        <v>=0.5mm</v>
      </c>
      <c r="K22" s="23" t="str">
        <f t="shared" si="33"/>
        <v>=1mm</v>
      </c>
      <c r="L22" s="23" t="str">
        <f t="shared" si="33"/>
        <v>=1.3mm</v>
      </c>
      <c r="M22" s="23" t="str">
        <f t="shared" si="33"/>
        <v>=0.1mm</v>
      </c>
      <c r="N22" s="23" t="str">
        <f t="shared" si="33"/>
        <v>=2mm</v>
      </c>
      <c r="O22" s="23" t="str">
        <f t="shared" si="20"/>
        <v>=7.62mm</v>
      </c>
      <c r="P22" s="23" t="str">
        <f t="shared" si="3"/>
        <v>SOLIDWORKS Materials:Glass</v>
      </c>
      <c r="Q22" s="26" t="str">
        <f t="shared" si="37"/>
        <v>DO-35</v>
      </c>
      <c r="R22" s="25" t="str">
        <f t="shared" si="22"/>
        <v xml:space="preserve">AXIAL-0.3 </v>
      </c>
      <c r="S22" s="23" t="str">
        <f>IF($AY22,INDEX(PkgTable,$CA22,MATCH(S$2,PkgTblHdr,0)),"")</f>
        <v/>
      </c>
      <c r="T22" s="23" t="str">
        <f>IF($AY22,INDEX(PkgTable,$CA22,MATCH(T$2,PkgTblHdr,0)),"")</f>
        <v/>
      </c>
      <c r="U22" s="23" t="str">
        <f>IF($AY22,INDEX(PkgTable,$CA22,MATCH(U$2,PkgTblHdr,0)),"")</f>
        <v/>
      </c>
      <c r="V22" s="23" t="str">
        <f>IF($AY22,INDEX(PkgTable,$CA22,MATCH(V$2,PkgTblHdr,0)),"")</f>
        <v/>
      </c>
      <c r="W22" s="23" t="str">
        <f>IF($AY22,INDEX(PkgTable,$CA22,MATCH(W$2,PkgTblHdr,0)),"")</f>
        <v/>
      </c>
      <c r="X22" s="23" t="str">
        <f>IF($AY22,INDEX(PkgTable,$CA22,MATCH(X$2,PkgTblHdr,0)),"")</f>
        <v/>
      </c>
      <c r="Y22" s="23" t="str">
        <f>IF($AY22,INDEX(PkgTable,$CA22,MATCH(Y$2,PkgTblHdr,0)),"")</f>
        <v/>
      </c>
      <c r="Z22" s="23" t="str">
        <f>IF($AY22,INDEX(PkgTable,$CA22,MATCH(Z$2,PkgTblHdr,0)),"")</f>
        <v/>
      </c>
      <c r="AA22" s="23" t="str">
        <f>IF($AY22,INDEX(PkgTable,$CA22,MATCH(AA$2,PkgTblHdr,0)),"")</f>
        <v/>
      </c>
      <c r="AB22" s="23" t="str">
        <f>IF($AY22,INDEX(PkgTable,$CA22,MATCH(AB$2,PkgTblHdr,0)),"")</f>
        <v/>
      </c>
      <c r="AC22" s="23" t="str">
        <f>IF($AY22,INDEX(PkgTable,$CA22,MATCH(AC$2,PkgTblHdr,0)),"")</f>
        <v/>
      </c>
      <c r="AD22" s="23" t="str">
        <f>IF($AY22,INDEX(PkgTable,$CA22,MATCH(AD$2,PkgTblHdr,0)),"")</f>
        <v/>
      </c>
      <c r="AE22" s="23" t="str">
        <f>IF($AY22,INDEX(PkgTable,$CA22,MATCH(AE$2,PkgTblHdr,0)),"")</f>
        <v/>
      </c>
      <c r="AF22" s="23"/>
      <c r="AG22" s="23" t="str">
        <f t="shared" si="4"/>
        <v>=0.4mm</v>
      </c>
      <c r="AH22" s="23" t="str">
        <f t="shared" si="4"/>
        <v>=0.4mm</v>
      </c>
      <c r="AI22" s="23" t="str">
        <f t="shared" si="4"/>
        <v>=6.28318530717959mm</v>
      </c>
      <c r="AJ22" s="23" t="str">
        <f t="shared" si="4"/>
        <v>=0.6mm</v>
      </c>
      <c r="AK22" s="23" t="str">
        <f t="shared" si="23"/>
        <v/>
      </c>
      <c r="AL22" s="23" t="str">
        <f t="shared" si="23"/>
        <v/>
      </c>
      <c r="AM22" s="23" t="str">
        <f t="shared" si="23"/>
        <v/>
      </c>
      <c r="AN22" s="23" t="str">
        <f t="shared" si="6"/>
        <v>=0.16mm</v>
      </c>
      <c r="AO22" s="23" t="str">
        <f t="shared" si="6"/>
        <v>=0.2mm</v>
      </c>
      <c r="AP22" s="24"/>
      <c r="AQ22" s="24"/>
      <c r="AR22" s="24"/>
      <c r="AS22" s="24"/>
      <c r="AT22" s="24"/>
      <c r="AU22" s="24"/>
      <c r="AV22" s="24"/>
      <c r="AW22" s="26"/>
      <c r="AX22" s="43"/>
      <c r="AY22" s="26" t="b">
        <f t="shared" si="24"/>
        <v>0</v>
      </c>
      <c r="AZ22" s="26" t="str">
        <f t="shared" si="7"/>
        <v>DO-35</v>
      </c>
      <c r="BA22" s="25">
        <f t="shared" si="38"/>
        <v>250</v>
      </c>
      <c r="BB22" s="27">
        <f t="shared" si="38"/>
        <v>100</v>
      </c>
      <c r="BC22" s="25">
        <f t="shared" si="25"/>
        <v>300</v>
      </c>
      <c r="BD22" s="28">
        <f t="shared" si="39"/>
        <v>1</v>
      </c>
      <c r="BE22" s="28">
        <f t="shared" si="39"/>
        <v>5</v>
      </c>
      <c r="BF22" s="28">
        <f t="shared" si="26"/>
        <v>1</v>
      </c>
      <c r="BG22" s="25" t="str">
        <f t="shared" si="36"/>
        <v xml:space="preserve">AXIAL-0.3 </v>
      </c>
      <c r="BH22" s="25" t="str">
        <f t="shared" si="27"/>
        <v/>
      </c>
      <c r="BI22" s="23">
        <f t="shared" si="34"/>
        <v>2</v>
      </c>
      <c r="BJ22" s="23">
        <f t="shared" si="34"/>
        <v>28</v>
      </c>
      <c r="BK22" s="23">
        <f t="shared" si="34"/>
        <v>1</v>
      </c>
      <c r="BL22" s="23">
        <f t="shared" si="34"/>
        <v>0.25</v>
      </c>
      <c r="BM22" s="23">
        <f t="shared" si="34"/>
        <v>4</v>
      </c>
      <c r="BN22" s="23">
        <f t="shared" si="34"/>
        <v>0.5</v>
      </c>
      <c r="BO22" s="23">
        <f t="shared" si="34"/>
        <v>1</v>
      </c>
      <c r="BP22" s="23">
        <f t="shared" si="34"/>
        <v>1.3</v>
      </c>
      <c r="BQ22" s="23">
        <f t="shared" si="34"/>
        <v>0.16</v>
      </c>
      <c r="BR22" s="23">
        <f t="shared" si="34"/>
        <v>0.4</v>
      </c>
      <c r="BS22" s="23">
        <f t="shared" si="34"/>
        <v>0.4</v>
      </c>
      <c r="BT22" s="23">
        <f t="shared" si="34"/>
        <v>0.1</v>
      </c>
      <c r="BU22" s="23">
        <f t="shared" si="34"/>
        <v>2</v>
      </c>
      <c r="BV22" s="23">
        <f t="shared" si="34"/>
        <v>6.35</v>
      </c>
      <c r="BW22" s="23">
        <f t="shared" si="34"/>
        <v>6.2831853071795862</v>
      </c>
      <c r="BX22" s="23">
        <f t="shared" si="34"/>
        <v>0.6</v>
      </c>
      <c r="BY22" s="23">
        <f t="shared" si="12"/>
        <v>22.447522203923061</v>
      </c>
      <c r="BZ22" s="23">
        <f t="shared" si="40"/>
        <v>0.2</v>
      </c>
      <c r="CA22" s="26">
        <f>MATCH($AZ22,'Package Dimensions'!$B:$B,0)-2</f>
        <v>5</v>
      </c>
      <c r="CB22" s="26">
        <f t="shared" si="28"/>
        <v>10</v>
      </c>
      <c r="CC22" s="26">
        <f t="shared" si="29"/>
        <v>6</v>
      </c>
      <c r="CD22" s="26">
        <f t="shared" si="41"/>
        <v>2</v>
      </c>
      <c r="CE22" s="26">
        <f t="shared" si="41"/>
        <v>5</v>
      </c>
      <c r="CF22" s="26">
        <f t="shared" si="14"/>
        <v>2</v>
      </c>
      <c r="CG22" s="26">
        <f t="shared" si="15"/>
        <v>1</v>
      </c>
      <c r="CH22" s="26">
        <f t="shared" si="30"/>
        <v>10</v>
      </c>
      <c r="CI22" s="26"/>
      <c r="CJ22" s="29"/>
      <c r="CK22" s="45">
        <f t="array" ref="CK22">IFERROR(MATCH(FALSE,$A22:$AX22=Sheet1!$A22:$AX22,0),0)</f>
        <v>0</v>
      </c>
    </row>
    <row r="23" spans="1:89">
      <c r="A23" s="22" t="str">
        <f t="shared" si="35"/>
        <v>DO-35 AXIAL-0.3 [05.0]</v>
      </c>
      <c r="B23" s="23" t="str">
        <f t="shared" si="17"/>
        <v>DO-35 AXIAL-0.3 [05.0] Glass</v>
      </c>
      <c r="C23" s="23" t="str">
        <f t="shared" si="18"/>
        <v>$P</v>
      </c>
      <c r="D23" s="23">
        <f t="shared" si="0"/>
        <v>16777215</v>
      </c>
      <c r="E23" s="23" t="str">
        <f t="shared" si="1"/>
        <v>=2mm</v>
      </c>
      <c r="F23" s="23" t="str">
        <f t="shared" si="1"/>
        <v>=28mm</v>
      </c>
      <c r="G23" s="23" t="str">
        <f t="shared" si="19"/>
        <v>=5mm</v>
      </c>
      <c r="H23" s="23" t="str">
        <f t="shared" si="33"/>
        <v>=0.25mm</v>
      </c>
      <c r="I23" s="23" t="str">
        <f t="shared" si="33"/>
        <v>=4mm</v>
      </c>
      <c r="J23" s="23" t="str">
        <f t="shared" si="33"/>
        <v>=0.5mm</v>
      </c>
      <c r="K23" s="23" t="str">
        <f t="shared" si="33"/>
        <v>=1mm</v>
      </c>
      <c r="L23" s="23" t="str">
        <f t="shared" si="33"/>
        <v>=1.3mm</v>
      </c>
      <c r="M23" s="23" t="str">
        <f t="shared" si="33"/>
        <v>=0.1mm</v>
      </c>
      <c r="N23" s="23" t="str">
        <f t="shared" si="33"/>
        <v>=2mm</v>
      </c>
      <c r="O23" s="23" t="str">
        <f t="shared" si="20"/>
        <v>=7.62mm</v>
      </c>
      <c r="P23" s="23" t="str">
        <f t="shared" si="3"/>
        <v>SOLIDWORKS Materials:Glass</v>
      </c>
      <c r="Q23" s="26" t="str">
        <f t="shared" si="37"/>
        <v>DO-35</v>
      </c>
      <c r="R23" s="25" t="str">
        <f t="shared" si="22"/>
        <v xml:space="preserve">AXIAL-0.3 </v>
      </c>
      <c r="S23" s="23" t="str">
        <f>IF($AY23,INDEX(PkgTable,$CA23,MATCH(S$2,PkgTblHdr,0)),"")</f>
        <v/>
      </c>
      <c r="T23" s="23" t="str">
        <f>IF($AY23,INDEX(PkgTable,$CA23,MATCH(T$2,PkgTblHdr,0)),"")</f>
        <v/>
      </c>
      <c r="U23" s="23" t="str">
        <f>IF($AY23,INDEX(PkgTable,$CA23,MATCH(U$2,PkgTblHdr,0)),"")</f>
        <v/>
      </c>
      <c r="V23" s="23" t="str">
        <f>IF($AY23,INDEX(PkgTable,$CA23,MATCH(V$2,PkgTblHdr,0)),"")</f>
        <v/>
      </c>
      <c r="W23" s="23" t="str">
        <f>IF($AY23,INDEX(PkgTable,$CA23,MATCH(W$2,PkgTblHdr,0)),"")</f>
        <v/>
      </c>
      <c r="X23" s="23" t="str">
        <f>IF($AY23,INDEX(PkgTable,$CA23,MATCH(X$2,PkgTblHdr,0)),"")</f>
        <v/>
      </c>
      <c r="Y23" s="23" t="str">
        <f>IF($AY23,INDEX(PkgTable,$CA23,MATCH(Y$2,PkgTblHdr,0)),"")</f>
        <v/>
      </c>
      <c r="Z23" s="23" t="str">
        <f>IF($AY23,INDEX(PkgTable,$CA23,MATCH(Z$2,PkgTblHdr,0)),"")</f>
        <v/>
      </c>
      <c r="AA23" s="23" t="str">
        <f>IF($AY23,INDEX(PkgTable,$CA23,MATCH(AA$2,PkgTblHdr,0)),"")</f>
        <v/>
      </c>
      <c r="AB23" s="23" t="str">
        <f>IF($AY23,INDEX(PkgTable,$CA23,MATCH(AB$2,PkgTblHdr,0)),"")</f>
        <v/>
      </c>
      <c r="AC23" s="23" t="str">
        <f>IF($AY23,INDEX(PkgTable,$CA23,MATCH(AC$2,PkgTblHdr,0)),"")</f>
        <v/>
      </c>
      <c r="AD23" s="23" t="str">
        <f>IF($AY23,INDEX(PkgTable,$CA23,MATCH(AD$2,PkgTblHdr,0)),"")</f>
        <v/>
      </c>
      <c r="AE23" s="23" t="str">
        <f>IF($AY23,INDEX(PkgTable,$CA23,MATCH(AE$2,PkgTblHdr,0)),"")</f>
        <v/>
      </c>
      <c r="AF23" s="23"/>
      <c r="AG23" s="23" t="str">
        <f t="shared" si="4"/>
        <v>=0.4mm</v>
      </c>
      <c r="AH23" s="23" t="str">
        <f t="shared" si="4"/>
        <v>=0.4mm</v>
      </c>
      <c r="AI23" s="23" t="str">
        <f t="shared" si="4"/>
        <v>=6.28318530717959mm</v>
      </c>
      <c r="AJ23" s="23" t="str">
        <f t="shared" si="4"/>
        <v>=0.6mm</v>
      </c>
      <c r="AK23" s="23" t="str">
        <f t="shared" si="23"/>
        <v/>
      </c>
      <c r="AL23" s="23" t="str">
        <f t="shared" si="23"/>
        <v/>
      </c>
      <c r="AM23" s="23" t="str">
        <f t="shared" si="23"/>
        <v/>
      </c>
      <c r="AN23" s="23" t="str">
        <f t="shared" si="6"/>
        <v>=0.16mm</v>
      </c>
      <c r="AO23" s="23" t="str">
        <f t="shared" si="6"/>
        <v>=0.2mm</v>
      </c>
      <c r="AP23" s="24"/>
      <c r="AQ23" s="24"/>
      <c r="AR23" s="24"/>
      <c r="AS23" s="24"/>
      <c r="AT23" s="24"/>
      <c r="AU23" s="24"/>
      <c r="AV23" s="24"/>
      <c r="AW23" s="26"/>
      <c r="AX23" s="43"/>
      <c r="AY23" s="26" t="b">
        <f t="shared" si="24"/>
        <v>0</v>
      </c>
      <c r="AZ23" s="26" t="str">
        <f t="shared" si="7"/>
        <v>DO-35</v>
      </c>
      <c r="BA23" s="25">
        <f t="shared" si="38"/>
        <v>250</v>
      </c>
      <c r="BB23" s="27">
        <f t="shared" si="38"/>
        <v>100</v>
      </c>
      <c r="BC23" s="25">
        <f t="shared" si="25"/>
        <v>300</v>
      </c>
      <c r="BD23" s="28">
        <f t="shared" si="39"/>
        <v>1</v>
      </c>
      <c r="BE23" s="28">
        <f t="shared" si="39"/>
        <v>5</v>
      </c>
      <c r="BF23" s="28">
        <f t="shared" si="26"/>
        <v>5</v>
      </c>
      <c r="BG23" s="25" t="str">
        <f t="shared" si="36"/>
        <v xml:space="preserve">AXIAL-0.3 </v>
      </c>
      <c r="BH23" s="25" t="str">
        <f t="shared" si="27"/>
        <v xml:space="preserve">[05.0] </v>
      </c>
      <c r="BI23" s="23">
        <f t="shared" si="34"/>
        <v>2</v>
      </c>
      <c r="BJ23" s="23">
        <f t="shared" si="34"/>
        <v>28</v>
      </c>
      <c r="BK23" s="23">
        <f t="shared" si="34"/>
        <v>1</v>
      </c>
      <c r="BL23" s="23">
        <f t="shared" si="34"/>
        <v>0.25</v>
      </c>
      <c r="BM23" s="23">
        <f t="shared" si="34"/>
        <v>4</v>
      </c>
      <c r="BN23" s="23">
        <f t="shared" si="34"/>
        <v>0.5</v>
      </c>
      <c r="BO23" s="23">
        <f t="shared" si="34"/>
        <v>1</v>
      </c>
      <c r="BP23" s="23">
        <f t="shared" si="34"/>
        <v>1.3</v>
      </c>
      <c r="BQ23" s="23">
        <f t="shared" si="34"/>
        <v>0.16</v>
      </c>
      <c r="BR23" s="23">
        <f t="shared" si="34"/>
        <v>0.4</v>
      </c>
      <c r="BS23" s="23">
        <f t="shared" si="34"/>
        <v>0.4</v>
      </c>
      <c r="BT23" s="23">
        <f t="shared" si="34"/>
        <v>0.1</v>
      </c>
      <c r="BU23" s="23">
        <f t="shared" si="34"/>
        <v>2</v>
      </c>
      <c r="BV23" s="23">
        <f t="shared" si="34"/>
        <v>6.35</v>
      </c>
      <c r="BW23" s="23">
        <f t="shared" si="34"/>
        <v>6.2831853071795862</v>
      </c>
      <c r="BX23" s="23">
        <f t="shared" si="34"/>
        <v>0.6</v>
      </c>
      <c r="BY23" s="23">
        <f t="shared" si="12"/>
        <v>18.447522203923061</v>
      </c>
      <c r="BZ23" s="23">
        <f t="shared" si="40"/>
        <v>0.2</v>
      </c>
      <c r="CA23" s="26">
        <f>MATCH($AZ23,'Package Dimensions'!$B:$B,0)-2</f>
        <v>5</v>
      </c>
      <c r="CB23" s="26">
        <f t="shared" si="28"/>
        <v>10</v>
      </c>
      <c r="CC23" s="26">
        <f t="shared" si="29"/>
        <v>7</v>
      </c>
      <c r="CD23" s="26">
        <f t="shared" si="41"/>
        <v>2</v>
      </c>
      <c r="CE23" s="26">
        <f t="shared" si="41"/>
        <v>5</v>
      </c>
      <c r="CF23" s="26">
        <f t="shared" si="14"/>
        <v>2</v>
      </c>
      <c r="CG23" s="26">
        <f t="shared" si="15"/>
        <v>2</v>
      </c>
      <c r="CH23" s="26">
        <f t="shared" si="30"/>
        <v>10</v>
      </c>
      <c r="CI23" s="26"/>
      <c r="CJ23" s="29"/>
      <c r="CK23" s="45">
        <f t="array" ref="CK23">IFERROR(MATCH(FALSE,$A23:$AX23=Sheet1!$A23:$AX23,0),0)</f>
        <v>0</v>
      </c>
    </row>
    <row r="24" spans="1:89">
      <c r="A24" s="22" t="str">
        <f t="shared" si="35"/>
        <v>DO-35 AXIAL-0.3 [10.0]</v>
      </c>
      <c r="B24" s="23" t="str">
        <f t="shared" si="17"/>
        <v>DO-35 AXIAL-0.3 [10.0] Glass</v>
      </c>
      <c r="C24" s="23" t="str">
        <f t="shared" si="18"/>
        <v>$P</v>
      </c>
      <c r="D24" s="23">
        <f t="shared" si="0"/>
        <v>16777215</v>
      </c>
      <c r="E24" s="23" t="str">
        <f t="shared" si="1"/>
        <v>=2mm</v>
      </c>
      <c r="F24" s="23" t="str">
        <f t="shared" si="1"/>
        <v>=28mm</v>
      </c>
      <c r="G24" s="23" t="str">
        <f t="shared" si="19"/>
        <v>=10mm</v>
      </c>
      <c r="H24" s="23" t="str">
        <f t="shared" si="33"/>
        <v>=0.25mm</v>
      </c>
      <c r="I24" s="23" t="str">
        <f t="shared" si="33"/>
        <v>=4mm</v>
      </c>
      <c r="J24" s="23" t="str">
        <f t="shared" si="33"/>
        <v>=0.5mm</v>
      </c>
      <c r="K24" s="23" t="str">
        <f t="shared" si="33"/>
        <v>=1mm</v>
      </c>
      <c r="L24" s="23" t="str">
        <f t="shared" si="33"/>
        <v>=1.3mm</v>
      </c>
      <c r="M24" s="23" t="str">
        <f t="shared" si="33"/>
        <v>=0.1mm</v>
      </c>
      <c r="N24" s="23" t="str">
        <f t="shared" si="33"/>
        <v>=2mm</v>
      </c>
      <c r="O24" s="23" t="str">
        <f t="shared" si="20"/>
        <v>=7.62mm</v>
      </c>
      <c r="P24" s="23" t="str">
        <f t="shared" si="3"/>
        <v>SOLIDWORKS Materials:Glass</v>
      </c>
      <c r="Q24" s="26" t="str">
        <f t="shared" si="37"/>
        <v>DO-35</v>
      </c>
      <c r="R24" s="25" t="str">
        <f t="shared" si="22"/>
        <v xml:space="preserve">AXIAL-0.3 </v>
      </c>
      <c r="S24" s="23" t="str">
        <f>IF($AY24,INDEX(PkgTable,$CA24,MATCH(S$2,PkgTblHdr,0)),"")</f>
        <v/>
      </c>
      <c r="T24" s="23" t="str">
        <f>IF($AY24,INDEX(PkgTable,$CA24,MATCH(T$2,PkgTblHdr,0)),"")</f>
        <v/>
      </c>
      <c r="U24" s="23" t="str">
        <f>IF($AY24,INDEX(PkgTable,$CA24,MATCH(U$2,PkgTblHdr,0)),"")</f>
        <v/>
      </c>
      <c r="V24" s="23" t="str">
        <f>IF($AY24,INDEX(PkgTable,$CA24,MATCH(V$2,PkgTblHdr,0)),"")</f>
        <v/>
      </c>
      <c r="W24" s="23" t="str">
        <f>IF($AY24,INDEX(PkgTable,$CA24,MATCH(W$2,PkgTblHdr,0)),"")</f>
        <v/>
      </c>
      <c r="X24" s="23" t="str">
        <f>IF($AY24,INDEX(PkgTable,$CA24,MATCH(X$2,PkgTblHdr,0)),"")</f>
        <v/>
      </c>
      <c r="Y24" s="23" t="str">
        <f>IF($AY24,INDEX(PkgTable,$CA24,MATCH(Y$2,PkgTblHdr,0)),"")</f>
        <v/>
      </c>
      <c r="Z24" s="23" t="str">
        <f>IF($AY24,INDEX(PkgTable,$CA24,MATCH(Z$2,PkgTblHdr,0)),"")</f>
        <v/>
      </c>
      <c r="AA24" s="23" t="str">
        <f>IF($AY24,INDEX(PkgTable,$CA24,MATCH(AA$2,PkgTblHdr,0)),"")</f>
        <v/>
      </c>
      <c r="AB24" s="23" t="str">
        <f>IF($AY24,INDEX(PkgTable,$CA24,MATCH(AB$2,PkgTblHdr,0)),"")</f>
        <v/>
      </c>
      <c r="AC24" s="23" t="str">
        <f>IF($AY24,INDEX(PkgTable,$CA24,MATCH(AC$2,PkgTblHdr,0)),"")</f>
        <v/>
      </c>
      <c r="AD24" s="23" t="str">
        <f>IF($AY24,INDEX(PkgTable,$CA24,MATCH(AD$2,PkgTblHdr,0)),"")</f>
        <v/>
      </c>
      <c r="AE24" s="23" t="str">
        <f>IF($AY24,INDEX(PkgTable,$CA24,MATCH(AE$2,PkgTblHdr,0)),"")</f>
        <v/>
      </c>
      <c r="AF24" s="23"/>
      <c r="AG24" s="23" t="str">
        <f t="shared" si="4"/>
        <v>=0.4mm</v>
      </c>
      <c r="AH24" s="23" t="str">
        <f t="shared" si="4"/>
        <v>=0.4mm</v>
      </c>
      <c r="AI24" s="23" t="str">
        <f t="shared" si="4"/>
        <v>=6.28318530717959mm</v>
      </c>
      <c r="AJ24" s="23" t="str">
        <f t="shared" si="4"/>
        <v>=0.6mm</v>
      </c>
      <c r="AK24" s="23" t="str">
        <f t="shared" si="23"/>
        <v/>
      </c>
      <c r="AL24" s="23" t="str">
        <f t="shared" si="23"/>
        <v/>
      </c>
      <c r="AM24" s="23" t="str">
        <f t="shared" si="23"/>
        <v/>
      </c>
      <c r="AN24" s="23" t="str">
        <f t="shared" si="6"/>
        <v>=0.16mm</v>
      </c>
      <c r="AO24" s="23" t="str">
        <f t="shared" si="6"/>
        <v>=0.2mm</v>
      </c>
      <c r="AP24" s="24"/>
      <c r="AQ24" s="24"/>
      <c r="AR24" s="24"/>
      <c r="AS24" s="24"/>
      <c r="AT24" s="24"/>
      <c r="AU24" s="24"/>
      <c r="AV24" s="24"/>
      <c r="AW24" s="26"/>
      <c r="AX24" s="43"/>
      <c r="AY24" s="26" t="b">
        <f t="shared" si="24"/>
        <v>0</v>
      </c>
      <c r="AZ24" s="26" t="str">
        <f t="shared" si="7"/>
        <v>DO-35</v>
      </c>
      <c r="BA24" s="25">
        <f t="shared" si="38"/>
        <v>250</v>
      </c>
      <c r="BB24" s="27">
        <f t="shared" si="38"/>
        <v>100</v>
      </c>
      <c r="BC24" s="25">
        <f t="shared" si="25"/>
        <v>300</v>
      </c>
      <c r="BD24" s="28">
        <f t="shared" si="39"/>
        <v>1</v>
      </c>
      <c r="BE24" s="28">
        <f t="shared" si="39"/>
        <v>5</v>
      </c>
      <c r="BF24" s="28">
        <f t="shared" si="26"/>
        <v>10</v>
      </c>
      <c r="BG24" s="25" t="str">
        <f t="shared" si="36"/>
        <v xml:space="preserve">AXIAL-0.3 </v>
      </c>
      <c r="BH24" s="25" t="str">
        <f t="shared" si="27"/>
        <v xml:space="preserve">[10.0] </v>
      </c>
      <c r="BI24" s="23">
        <f t="shared" si="34"/>
        <v>2</v>
      </c>
      <c r="BJ24" s="23">
        <f t="shared" si="34"/>
        <v>28</v>
      </c>
      <c r="BK24" s="23">
        <f t="shared" si="34"/>
        <v>1</v>
      </c>
      <c r="BL24" s="23">
        <f t="shared" si="34"/>
        <v>0.25</v>
      </c>
      <c r="BM24" s="23">
        <f t="shared" si="34"/>
        <v>4</v>
      </c>
      <c r="BN24" s="23">
        <f t="shared" si="34"/>
        <v>0.5</v>
      </c>
      <c r="BO24" s="23">
        <f t="shared" si="34"/>
        <v>1</v>
      </c>
      <c r="BP24" s="23">
        <f t="shared" si="34"/>
        <v>1.3</v>
      </c>
      <c r="BQ24" s="23">
        <f t="shared" si="34"/>
        <v>0.16</v>
      </c>
      <c r="BR24" s="23">
        <f t="shared" si="34"/>
        <v>0.4</v>
      </c>
      <c r="BS24" s="23">
        <f t="shared" si="34"/>
        <v>0.4</v>
      </c>
      <c r="BT24" s="23">
        <f t="shared" si="34"/>
        <v>0.1</v>
      </c>
      <c r="BU24" s="23">
        <f t="shared" si="34"/>
        <v>2</v>
      </c>
      <c r="BV24" s="23">
        <f t="shared" si="34"/>
        <v>6.35</v>
      </c>
      <c r="BW24" s="23">
        <f t="shared" si="34"/>
        <v>6.2831853071795862</v>
      </c>
      <c r="BX24" s="23">
        <f t="shared" si="34"/>
        <v>0.6</v>
      </c>
      <c r="BY24" s="23">
        <f t="shared" si="12"/>
        <v>13.447522203923061</v>
      </c>
      <c r="BZ24" s="23">
        <f t="shared" si="40"/>
        <v>0.2</v>
      </c>
      <c r="CA24" s="26">
        <f>MATCH($AZ24,'Package Dimensions'!$B:$B,0)-2</f>
        <v>5</v>
      </c>
      <c r="CB24" s="26">
        <f t="shared" si="28"/>
        <v>10</v>
      </c>
      <c r="CC24" s="26">
        <f t="shared" si="29"/>
        <v>8</v>
      </c>
      <c r="CD24" s="26">
        <f t="shared" si="41"/>
        <v>2</v>
      </c>
      <c r="CE24" s="26">
        <f t="shared" si="41"/>
        <v>5</v>
      </c>
      <c r="CF24" s="26">
        <f t="shared" si="14"/>
        <v>2</v>
      </c>
      <c r="CG24" s="26">
        <f t="shared" si="15"/>
        <v>3</v>
      </c>
      <c r="CH24" s="26">
        <f t="shared" si="30"/>
        <v>10</v>
      </c>
      <c r="CI24" s="26"/>
      <c r="CJ24" s="29"/>
      <c r="CK24" s="45">
        <f t="array" ref="CK24">IFERROR(MATCH(FALSE,$A24:$AX24=Sheet1!$A24:$AX24,0),0)</f>
        <v>0</v>
      </c>
    </row>
    <row r="25" spans="1:89">
      <c r="A25" s="22" t="str">
        <f t="shared" si="35"/>
        <v>DO-35 AXIAL-0.3 [15.0]</v>
      </c>
      <c r="B25" s="23" t="str">
        <f t="shared" si="17"/>
        <v>DO-35 AXIAL-0.3 [15.0] Glass</v>
      </c>
      <c r="C25" s="23" t="str">
        <f t="shared" si="18"/>
        <v>$P</v>
      </c>
      <c r="D25" s="23">
        <f t="shared" si="0"/>
        <v>16777215</v>
      </c>
      <c r="E25" s="23" t="str">
        <f t="shared" si="1"/>
        <v>=2mm</v>
      </c>
      <c r="F25" s="23" t="str">
        <f t="shared" si="1"/>
        <v>=28mm</v>
      </c>
      <c r="G25" s="23" t="str">
        <f t="shared" si="19"/>
        <v>=15mm</v>
      </c>
      <c r="H25" s="23" t="str">
        <f t="shared" si="33"/>
        <v>=0.25mm</v>
      </c>
      <c r="I25" s="23" t="str">
        <f t="shared" si="33"/>
        <v>=4mm</v>
      </c>
      <c r="J25" s="23" t="str">
        <f t="shared" si="33"/>
        <v>=0.5mm</v>
      </c>
      <c r="K25" s="23" t="str">
        <f t="shared" si="33"/>
        <v>=1mm</v>
      </c>
      <c r="L25" s="23" t="str">
        <f t="shared" si="33"/>
        <v>=1.3mm</v>
      </c>
      <c r="M25" s="23" t="str">
        <f t="shared" si="33"/>
        <v>=0.1mm</v>
      </c>
      <c r="N25" s="23" t="str">
        <f t="shared" si="33"/>
        <v>=2mm</v>
      </c>
      <c r="O25" s="23" t="str">
        <f t="shared" si="20"/>
        <v>=7.62mm</v>
      </c>
      <c r="P25" s="23" t="str">
        <f t="shared" si="3"/>
        <v>SOLIDWORKS Materials:Glass</v>
      </c>
      <c r="Q25" s="26" t="str">
        <f t="shared" si="37"/>
        <v>DO-35</v>
      </c>
      <c r="R25" s="25" t="str">
        <f t="shared" si="22"/>
        <v xml:space="preserve">AXIAL-0.3 </v>
      </c>
      <c r="S25" s="23" t="str">
        <f>IF($AY25,INDEX(PkgTable,$CA25,MATCH(S$2,PkgTblHdr,0)),"")</f>
        <v/>
      </c>
      <c r="T25" s="23" t="str">
        <f>IF($AY25,INDEX(PkgTable,$CA25,MATCH(T$2,PkgTblHdr,0)),"")</f>
        <v/>
      </c>
      <c r="U25" s="23" t="str">
        <f>IF($AY25,INDEX(PkgTable,$CA25,MATCH(U$2,PkgTblHdr,0)),"")</f>
        <v/>
      </c>
      <c r="V25" s="23" t="str">
        <f>IF($AY25,INDEX(PkgTable,$CA25,MATCH(V$2,PkgTblHdr,0)),"")</f>
        <v/>
      </c>
      <c r="W25" s="23" t="str">
        <f>IF($AY25,INDEX(PkgTable,$CA25,MATCH(W$2,PkgTblHdr,0)),"")</f>
        <v/>
      </c>
      <c r="X25" s="23" t="str">
        <f>IF($AY25,INDEX(PkgTable,$CA25,MATCH(X$2,PkgTblHdr,0)),"")</f>
        <v/>
      </c>
      <c r="Y25" s="23" t="str">
        <f>IF($AY25,INDEX(PkgTable,$CA25,MATCH(Y$2,PkgTblHdr,0)),"")</f>
        <v/>
      </c>
      <c r="Z25" s="23" t="str">
        <f>IF($AY25,INDEX(PkgTable,$CA25,MATCH(Z$2,PkgTblHdr,0)),"")</f>
        <v/>
      </c>
      <c r="AA25" s="23" t="str">
        <f>IF($AY25,INDEX(PkgTable,$CA25,MATCH(AA$2,PkgTblHdr,0)),"")</f>
        <v/>
      </c>
      <c r="AB25" s="23" t="str">
        <f>IF($AY25,INDEX(PkgTable,$CA25,MATCH(AB$2,PkgTblHdr,0)),"")</f>
        <v/>
      </c>
      <c r="AC25" s="23" t="str">
        <f>IF($AY25,INDEX(PkgTable,$CA25,MATCH(AC$2,PkgTblHdr,0)),"")</f>
        <v/>
      </c>
      <c r="AD25" s="23" t="str">
        <f>IF($AY25,INDEX(PkgTable,$CA25,MATCH(AD$2,PkgTblHdr,0)),"")</f>
        <v/>
      </c>
      <c r="AE25" s="23" t="str">
        <f>IF($AY25,INDEX(PkgTable,$CA25,MATCH(AE$2,PkgTblHdr,0)),"")</f>
        <v/>
      </c>
      <c r="AF25" s="23"/>
      <c r="AG25" s="23" t="str">
        <f t="shared" si="4"/>
        <v>=0.4mm</v>
      </c>
      <c r="AH25" s="23" t="str">
        <f t="shared" si="4"/>
        <v>=0.4mm</v>
      </c>
      <c r="AI25" s="23" t="str">
        <f t="shared" si="4"/>
        <v>=6.28318530717959mm</v>
      </c>
      <c r="AJ25" s="23" t="str">
        <f t="shared" si="4"/>
        <v>=0.6mm</v>
      </c>
      <c r="AK25" s="23" t="str">
        <f t="shared" si="23"/>
        <v/>
      </c>
      <c r="AL25" s="23" t="str">
        <f t="shared" si="23"/>
        <v/>
      </c>
      <c r="AM25" s="23" t="str">
        <f t="shared" si="23"/>
        <v/>
      </c>
      <c r="AN25" s="23" t="str">
        <f t="shared" si="6"/>
        <v>=0.16mm</v>
      </c>
      <c r="AO25" s="23" t="str">
        <f t="shared" si="6"/>
        <v>=0.2mm</v>
      </c>
      <c r="AP25" s="24"/>
      <c r="AQ25" s="24"/>
      <c r="AR25" s="24"/>
      <c r="AS25" s="24"/>
      <c r="AT25" s="24"/>
      <c r="AU25" s="24"/>
      <c r="AV25" s="24"/>
      <c r="AW25" s="26"/>
      <c r="AX25" s="43"/>
      <c r="AY25" s="26" t="b">
        <f t="shared" si="24"/>
        <v>0</v>
      </c>
      <c r="AZ25" s="26" t="str">
        <f t="shared" si="7"/>
        <v>DO-35</v>
      </c>
      <c r="BA25" s="25">
        <f t="shared" si="38"/>
        <v>250</v>
      </c>
      <c r="BB25" s="27">
        <f t="shared" si="38"/>
        <v>100</v>
      </c>
      <c r="BC25" s="25">
        <f t="shared" si="25"/>
        <v>300</v>
      </c>
      <c r="BD25" s="28">
        <f t="shared" si="39"/>
        <v>1</v>
      </c>
      <c r="BE25" s="28">
        <f t="shared" si="39"/>
        <v>5</v>
      </c>
      <c r="BF25" s="28">
        <f t="shared" si="26"/>
        <v>15</v>
      </c>
      <c r="BG25" s="25" t="str">
        <f t="shared" si="36"/>
        <v xml:space="preserve">AXIAL-0.3 </v>
      </c>
      <c r="BH25" s="25" t="str">
        <f t="shared" ref="BH25:BH26" si="42">IF(BF25=1,"","["&amp;TEXT(BF25,"00.0##")&amp;"] ")</f>
        <v xml:space="preserve">[15.0] </v>
      </c>
      <c r="BI25" s="23">
        <f t="shared" si="34"/>
        <v>2</v>
      </c>
      <c r="BJ25" s="23">
        <f t="shared" si="34"/>
        <v>28</v>
      </c>
      <c r="BK25" s="23">
        <f t="shared" si="34"/>
        <v>1</v>
      </c>
      <c r="BL25" s="23">
        <f t="shared" si="34"/>
        <v>0.25</v>
      </c>
      <c r="BM25" s="23">
        <f t="shared" si="34"/>
        <v>4</v>
      </c>
      <c r="BN25" s="23">
        <f t="shared" si="34"/>
        <v>0.5</v>
      </c>
      <c r="BO25" s="23">
        <f t="shared" si="34"/>
        <v>1</v>
      </c>
      <c r="BP25" s="23">
        <f t="shared" si="34"/>
        <v>1.3</v>
      </c>
      <c r="BQ25" s="23">
        <f t="shared" si="34"/>
        <v>0.16</v>
      </c>
      <c r="BR25" s="23">
        <f t="shared" si="34"/>
        <v>0.4</v>
      </c>
      <c r="BS25" s="23">
        <f t="shared" si="34"/>
        <v>0.4</v>
      </c>
      <c r="BT25" s="23">
        <f t="shared" si="34"/>
        <v>0.1</v>
      </c>
      <c r="BU25" s="23">
        <f t="shared" si="34"/>
        <v>2</v>
      </c>
      <c r="BV25" s="23">
        <f t="shared" si="34"/>
        <v>6.35</v>
      </c>
      <c r="BW25" s="23">
        <f t="shared" si="34"/>
        <v>6.2831853071795862</v>
      </c>
      <c r="BX25" s="23">
        <f t="shared" si="34"/>
        <v>0.6</v>
      </c>
      <c r="BY25" s="23">
        <f t="shared" si="12"/>
        <v>8.4475222039230609</v>
      </c>
      <c r="BZ25" s="23">
        <f t="shared" si="40"/>
        <v>0.2</v>
      </c>
      <c r="CA25" s="26">
        <f>MATCH($AZ25,'Package Dimensions'!$B:$B,0)-2</f>
        <v>5</v>
      </c>
      <c r="CB25" s="26">
        <f t="shared" ref="CB25:CB26" si="43">COUNTIF($AZ:$AZ,$AZ25)</f>
        <v>10</v>
      </c>
      <c r="CC25" s="26">
        <f t="shared" si="29"/>
        <v>9</v>
      </c>
      <c r="CD25" s="26">
        <f t="shared" si="41"/>
        <v>2</v>
      </c>
      <c r="CE25" s="26">
        <f t="shared" si="41"/>
        <v>5</v>
      </c>
      <c r="CF25" s="26">
        <f t="shared" ref="CF25:CF26" si="44">1+MOD((CC25-MOD(CC25-1,CE25)-1)/CE25,CD25)</f>
        <v>2</v>
      </c>
      <c r="CG25" s="26">
        <f t="shared" si="15"/>
        <v>4</v>
      </c>
      <c r="CH25" s="26">
        <f t="shared" ref="CH25:CH26" si="45">CD25*CE25</f>
        <v>10</v>
      </c>
      <c r="CI25" s="26"/>
      <c r="CJ25" s="29"/>
      <c r="CK25" s="45">
        <f t="array" ref="CK25">IFERROR(MATCH(FALSE,$A25:$AX25=Sheet1!$A25:$AX25,0),0)</f>
        <v>0</v>
      </c>
    </row>
    <row r="26" spans="1:89">
      <c r="A26" s="22" t="str">
        <f t="shared" si="35"/>
        <v>DO-35 AXIAL-0.3 [20.0]</v>
      </c>
      <c r="B26" s="23" t="str">
        <f t="shared" si="17"/>
        <v>DO-35 AXIAL-0.3 [20.0] Glass</v>
      </c>
      <c r="C26" s="23" t="str">
        <f t="shared" si="18"/>
        <v>$P</v>
      </c>
      <c r="D26" s="23">
        <f t="shared" si="0"/>
        <v>16777215</v>
      </c>
      <c r="E26" s="23" t="str">
        <f t="shared" si="1"/>
        <v>=2mm</v>
      </c>
      <c r="F26" s="23" t="str">
        <f t="shared" si="1"/>
        <v>=28mm</v>
      </c>
      <c r="G26" s="23" t="str">
        <f t="shared" si="19"/>
        <v>=20mm</v>
      </c>
      <c r="H26" s="23" t="str">
        <f t="shared" si="33"/>
        <v>=0.25mm</v>
      </c>
      <c r="I26" s="23" t="str">
        <f t="shared" si="33"/>
        <v>=4mm</v>
      </c>
      <c r="J26" s="23" t="str">
        <f t="shared" si="33"/>
        <v>=0.5mm</v>
      </c>
      <c r="K26" s="23" t="str">
        <f t="shared" si="33"/>
        <v>=1mm</v>
      </c>
      <c r="L26" s="23" t="str">
        <f t="shared" si="33"/>
        <v>=1.3mm</v>
      </c>
      <c r="M26" s="23" t="str">
        <f t="shared" si="33"/>
        <v>=0.1mm</v>
      </c>
      <c r="N26" s="23" t="str">
        <f t="shared" si="33"/>
        <v>=2mm</v>
      </c>
      <c r="O26" s="23" t="str">
        <f t="shared" si="20"/>
        <v>=7.62mm</v>
      </c>
      <c r="P26" s="23" t="str">
        <f t="shared" si="3"/>
        <v>SOLIDWORKS Materials:Glass</v>
      </c>
      <c r="Q26" s="26" t="str">
        <f t="shared" si="37"/>
        <v>DO-35</v>
      </c>
      <c r="R26" s="25" t="str">
        <f t="shared" si="22"/>
        <v xml:space="preserve">AXIAL-0.3 </v>
      </c>
      <c r="S26" s="23" t="str">
        <f>IF($AY26,INDEX(PkgTable,$CA26,MATCH(S$2,PkgTblHdr,0)),"")</f>
        <v/>
      </c>
      <c r="T26" s="23" t="str">
        <f>IF($AY26,INDEX(PkgTable,$CA26,MATCH(T$2,PkgTblHdr,0)),"")</f>
        <v/>
      </c>
      <c r="U26" s="23" t="str">
        <f>IF($AY26,INDEX(PkgTable,$CA26,MATCH(U$2,PkgTblHdr,0)),"")</f>
        <v/>
      </c>
      <c r="V26" s="23" t="str">
        <f>IF($AY26,INDEX(PkgTable,$CA26,MATCH(V$2,PkgTblHdr,0)),"")</f>
        <v/>
      </c>
      <c r="W26" s="23" t="str">
        <f>IF($AY26,INDEX(PkgTable,$CA26,MATCH(W$2,PkgTblHdr,0)),"")</f>
        <v/>
      </c>
      <c r="X26" s="23" t="str">
        <f>IF($AY26,INDEX(PkgTable,$CA26,MATCH(X$2,PkgTblHdr,0)),"")</f>
        <v/>
      </c>
      <c r="Y26" s="23" t="str">
        <f>IF($AY26,INDEX(PkgTable,$CA26,MATCH(Y$2,PkgTblHdr,0)),"")</f>
        <v/>
      </c>
      <c r="Z26" s="23" t="str">
        <f>IF($AY26,INDEX(PkgTable,$CA26,MATCH(Z$2,PkgTblHdr,0)),"")</f>
        <v/>
      </c>
      <c r="AA26" s="23" t="str">
        <f>IF($AY26,INDEX(PkgTable,$CA26,MATCH(AA$2,PkgTblHdr,0)),"")</f>
        <v/>
      </c>
      <c r="AB26" s="23" t="str">
        <f>IF($AY26,INDEX(PkgTable,$CA26,MATCH(AB$2,PkgTblHdr,0)),"")</f>
        <v/>
      </c>
      <c r="AC26" s="23" t="str">
        <f>IF($AY26,INDEX(PkgTable,$CA26,MATCH(AC$2,PkgTblHdr,0)),"")</f>
        <v/>
      </c>
      <c r="AD26" s="23" t="str">
        <f>IF($AY26,INDEX(PkgTable,$CA26,MATCH(AD$2,PkgTblHdr,0)),"")</f>
        <v/>
      </c>
      <c r="AE26" s="23" t="str">
        <f>IF($AY26,INDEX(PkgTable,$CA26,MATCH(AE$2,PkgTblHdr,0)),"")</f>
        <v/>
      </c>
      <c r="AF26" s="23"/>
      <c r="AG26" s="23" t="str">
        <f t="shared" si="4"/>
        <v>=0.4mm</v>
      </c>
      <c r="AH26" s="23" t="str">
        <f t="shared" si="4"/>
        <v>=0.4mm</v>
      </c>
      <c r="AI26" s="23" t="str">
        <f t="shared" si="4"/>
        <v>=6.28318530717959mm</v>
      </c>
      <c r="AJ26" s="23" t="str">
        <f t="shared" si="4"/>
        <v>=0.6mm</v>
      </c>
      <c r="AK26" s="23" t="str">
        <f t="shared" si="23"/>
        <v/>
      </c>
      <c r="AL26" s="23" t="str">
        <f t="shared" si="23"/>
        <v/>
      </c>
      <c r="AM26" s="23" t="str">
        <f t="shared" si="23"/>
        <v/>
      </c>
      <c r="AN26" s="23" t="str">
        <f t="shared" si="6"/>
        <v>=0.16mm</v>
      </c>
      <c r="AO26" s="23" t="str">
        <f t="shared" si="6"/>
        <v>=0.2mm</v>
      </c>
      <c r="AP26" s="24"/>
      <c r="AQ26" s="24"/>
      <c r="AR26" s="24"/>
      <c r="AS26" s="24"/>
      <c r="AT26" s="24"/>
      <c r="AU26" s="24"/>
      <c r="AV26" s="24"/>
      <c r="AW26" s="26"/>
      <c r="AX26" s="43"/>
      <c r="AY26" s="26" t="b">
        <f t="shared" si="24"/>
        <v>0</v>
      </c>
      <c r="AZ26" s="26" t="str">
        <f t="shared" si="7"/>
        <v>DO-35</v>
      </c>
      <c r="BA26" s="25">
        <f t="shared" si="38"/>
        <v>250</v>
      </c>
      <c r="BB26" s="27">
        <f t="shared" si="38"/>
        <v>100</v>
      </c>
      <c r="BC26" s="25">
        <f t="shared" si="25"/>
        <v>300</v>
      </c>
      <c r="BD26" s="28">
        <f t="shared" si="39"/>
        <v>1</v>
      </c>
      <c r="BE26" s="28">
        <f t="shared" si="39"/>
        <v>5</v>
      </c>
      <c r="BF26" s="28">
        <f t="shared" si="26"/>
        <v>20</v>
      </c>
      <c r="BG26" s="25" t="str">
        <f t="shared" si="36"/>
        <v xml:space="preserve">AXIAL-0.3 </v>
      </c>
      <c r="BH26" s="25" t="str">
        <f t="shared" si="42"/>
        <v xml:space="preserve">[20.0] </v>
      </c>
      <c r="BI26" s="23">
        <f t="shared" si="34"/>
        <v>2</v>
      </c>
      <c r="BJ26" s="23">
        <f t="shared" si="34"/>
        <v>28</v>
      </c>
      <c r="BK26" s="23">
        <f t="shared" si="34"/>
        <v>1</v>
      </c>
      <c r="BL26" s="23">
        <f t="shared" si="34"/>
        <v>0.25</v>
      </c>
      <c r="BM26" s="23">
        <f t="shared" si="34"/>
        <v>4</v>
      </c>
      <c r="BN26" s="23">
        <f t="shared" si="34"/>
        <v>0.5</v>
      </c>
      <c r="BO26" s="23">
        <f t="shared" si="34"/>
        <v>1</v>
      </c>
      <c r="BP26" s="23">
        <f t="shared" si="34"/>
        <v>1.3</v>
      </c>
      <c r="BQ26" s="23">
        <f t="shared" si="34"/>
        <v>0.16</v>
      </c>
      <c r="BR26" s="23">
        <f t="shared" si="34"/>
        <v>0.4</v>
      </c>
      <c r="BS26" s="23">
        <f t="shared" si="34"/>
        <v>0.4</v>
      </c>
      <c r="BT26" s="23">
        <f t="shared" si="34"/>
        <v>0.1</v>
      </c>
      <c r="BU26" s="23">
        <f t="shared" si="34"/>
        <v>2</v>
      </c>
      <c r="BV26" s="23">
        <f t="shared" si="34"/>
        <v>6.35</v>
      </c>
      <c r="BW26" s="23">
        <f t="shared" si="34"/>
        <v>6.2831853071795862</v>
      </c>
      <c r="BX26" s="23">
        <f t="shared" si="34"/>
        <v>0.6</v>
      </c>
      <c r="BY26" s="23">
        <f t="shared" si="12"/>
        <v>3.4475222039230609</v>
      </c>
      <c r="BZ26" s="23">
        <f t="shared" si="40"/>
        <v>0.2</v>
      </c>
      <c r="CA26" s="26">
        <f>MATCH($AZ26,'Package Dimensions'!$B:$B,0)-2</f>
        <v>5</v>
      </c>
      <c r="CB26" s="26">
        <f t="shared" si="43"/>
        <v>10</v>
      </c>
      <c r="CC26" s="26">
        <f t="shared" si="29"/>
        <v>10</v>
      </c>
      <c r="CD26" s="26">
        <f t="shared" si="41"/>
        <v>2</v>
      </c>
      <c r="CE26" s="26">
        <f t="shared" si="41"/>
        <v>5</v>
      </c>
      <c r="CF26" s="26">
        <f t="shared" si="44"/>
        <v>2</v>
      </c>
      <c r="CG26" s="26">
        <f t="shared" si="15"/>
        <v>5</v>
      </c>
      <c r="CH26" s="26">
        <f t="shared" si="45"/>
        <v>10</v>
      </c>
      <c r="CI26" s="26"/>
      <c r="CJ26" s="29"/>
      <c r="CK26" s="45">
        <f t="array" ref="CK26">IFERROR(MATCH(FALSE,$A26:$AX26=Sheet1!$A26:$AX26,0),0)</f>
        <v>0</v>
      </c>
    </row>
    <row r="27" spans="1:89">
      <c r="A27" s="22"/>
      <c r="B27" s="23"/>
      <c r="C27" s="23"/>
      <c r="D27" s="23"/>
      <c r="E27" s="23"/>
      <c r="F27" s="23"/>
      <c r="G27" s="23"/>
      <c r="H27" s="24"/>
      <c r="I27" s="23"/>
      <c r="J27" s="23"/>
      <c r="K27" s="23"/>
      <c r="L27" s="23"/>
      <c r="M27" s="23"/>
      <c r="N27" s="23"/>
      <c r="O27" s="23"/>
      <c r="P27" s="23"/>
      <c r="Q27" s="26"/>
      <c r="R27" s="25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6"/>
      <c r="AX27" s="43"/>
      <c r="AY27" s="26"/>
      <c r="AZ27" s="26"/>
      <c r="BA27" s="25"/>
      <c r="BB27" s="27"/>
      <c r="BC27" s="25"/>
      <c r="BD27" s="28"/>
      <c r="BE27" s="28"/>
      <c r="BF27" s="28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6"/>
      <c r="CB27" s="26"/>
      <c r="CC27" s="26"/>
      <c r="CD27" s="26"/>
      <c r="CE27" s="26"/>
      <c r="CF27" s="26"/>
      <c r="CG27" s="26"/>
      <c r="CH27" s="26"/>
      <c r="CI27" s="26"/>
      <c r="CJ27" s="29"/>
      <c r="CK27" s="45">
        <f t="array" ref="CK27">IFERROR(MATCH(FALSE,$A27:$AX27=Sheet1!$A27:$AX27,0),0)</f>
        <v>0</v>
      </c>
    </row>
    <row r="28" spans="1:89" ht="15.75" thickBot="1">
      <c r="A28" s="32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5"/>
      <c r="AX28" s="44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6"/>
      <c r="CK28" s="45">
        <f t="array" ref="CK28">IFERROR(MATCH(FALSE,$A28:$AX28=Sheet1!$A28:$AX28,0),0)</f>
        <v>0</v>
      </c>
    </row>
    <row r="29" spans="1:89">
      <c r="CK29" s="26"/>
    </row>
    <row r="30" spans="1:89">
      <c r="CK30" s="26"/>
    </row>
  </sheetData>
  <conditionalFormatting sqref="A3:CJ28">
    <cfRule type="expression" dxfId="29" priority="4">
      <formula>$CB3&lt;$CH3</formula>
    </cfRule>
    <cfRule type="expression" dxfId="28" priority="5">
      <formula>$AY3</formula>
    </cfRule>
    <cfRule type="expression" dxfId="27" priority="6">
      <formula>$CC3&gt;$CH3</formula>
    </cfRule>
  </conditionalFormatting>
  <conditionalFormatting sqref="BC3:BC26 BF3:BF26 BY3:BZ26">
    <cfRule type="expression" dxfId="26" priority="3">
      <formula>$BY3&lt;0</formula>
    </cfRule>
  </conditionalFormatting>
  <conditionalFormatting sqref="CB3:CB26 CH3:CH26">
    <cfRule type="expression" dxfId="25" priority="2">
      <formula>$CB3&lt;$CH3</formula>
    </cfRule>
  </conditionalFormatting>
  <conditionalFormatting sqref="BQ3:BQ26">
    <cfRule type="expression" dxfId="24" priority="1">
      <formula>$BY3&lt;0</formula>
    </cfRule>
  </conditionalFormatting>
  <dataValidations count="3">
    <dataValidation allowBlank="1" showInputMessage="1" promptTitle="$DESCRIPTION" prompt="Enter the description" sqref="A3:A16 A18:A27 I3:P27 D3:G27 B3:B27 H3:H26 AN3:AO26 BZ3:BZ26 BI3:BX26 T27:AB27 T3:AJ26 S3:S27"/>
    <dataValidation allowBlank="1" showInputMessage="1" promptTitle="$COMMENT" prompt="Enter the comment." sqref="R3:R27"/>
    <dataValidation type="list" allowBlank="1" showInputMessage="1" promptTitle="$PARTNUMBER" prompt="Enter the part number." sqref="C3:C27">
      <formula1>"$DOCUMENT,$CONFIGURATION,$PARENT,$D,$C,$P"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2:AY27"/>
  <sheetViews>
    <sheetView workbookViewId="0">
      <selection activeCell="K13" sqref="K13"/>
    </sheetView>
  </sheetViews>
  <sheetFormatPr defaultRowHeight="15"/>
  <cols>
    <col min="1" max="1" width="3.7109375" bestFit="1" customWidth="1"/>
    <col min="2" max="2" width="10" bestFit="1" customWidth="1"/>
    <col min="3" max="3" width="8.140625" bestFit="1" customWidth="1"/>
    <col min="4" max="4" width="8.140625" customWidth="1"/>
    <col min="5" max="5" width="3.7109375" bestFit="1" customWidth="1"/>
    <col min="6" max="7" width="8.140625" customWidth="1"/>
    <col min="8" max="8" width="3.7109375" bestFit="1" customWidth="1"/>
    <col min="9" max="9" width="6.140625" bestFit="1" customWidth="1"/>
    <col min="10" max="10" width="13.140625" bestFit="1" customWidth="1"/>
    <col min="11" max="11" width="6.140625" bestFit="1" customWidth="1"/>
    <col min="12" max="12" width="3.7109375" bestFit="1" customWidth="1"/>
    <col min="13" max="13" width="6.7109375" bestFit="1" customWidth="1"/>
    <col min="14" max="14" width="7.42578125" bestFit="1" customWidth="1"/>
    <col min="15" max="15" width="27.140625" bestFit="1" customWidth="1"/>
    <col min="16" max="16" width="9" bestFit="1" customWidth="1"/>
    <col min="17" max="18" width="8.42578125" bestFit="1" customWidth="1"/>
    <col min="19" max="21" width="8.42578125" style="2" bestFit="1" customWidth="1"/>
    <col min="22" max="22" width="8.42578125" style="1" bestFit="1" customWidth="1"/>
    <col min="23" max="23" width="9.42578125" bestFit="1" customWidth="1"/>
    <col min="24" max="24" width="7.42578125" bestFit="1" customWidth="1"/>
    <col min="25" max="25" width="8.42578125" bestFit="1" customWidth="1"/>
    <col min="26" max="28" width="9.42578125" bestFit="1" customWidth="1"/>
    <col min="29" max="30" width="10.42578125" bestFit="1" customWidth="1"/>
    <col min="31" max="31" width="9.42578125" customWidth="1"/>
    <col min="32" max="32" width="10.42578125" bestFit="1" customWidth="1"/>
    <col min="33" max="33" width="25.5703125" bestFit="1" customWidth="1"/>
    <col min="34" max="34" width="9" bestFit="1" customWidth="1"/>
    <col min="35" max="35" width="2.5703125" customWidth="1"/>
    <col min="36" max="38" width="3.7109375" style="1" customWidth="1"/>
    <col min="39" max="39" width="3.7109375" style="1" bestFit="1" customWidth="1"/>
    <col min="40" max="41" width="3.7109375" style="1" customWidth="1"/>
    <col min="42" max="42" width="3.7109375" bestFit="1" customWidth="1"/>
    <col min="43" max="43" width="3.7109375" customWidth="1"/>
    <col min="44" max="46" width="3.7109375" style="1" customWidth="1"/>
    <col min="47" max="51" width="3.7109375" bestFit="1" customWidth="1"/>
  </cols>
  <sheetData>
    <row r="2" spans="1:51" ht="144">
      <c r="A2" s="3" t="s">
        <v>35</v>
      </c>
      <c r="B2" s="3" t="s">
        <v>36</v>
      </c>
      <c r="C2" s="3" t="s">
        <v>166</v>
      </c>
      <c r="D2" s="3" t="s">
        <v>57</v>
      </c>
      <c r="E2" s="3" t="s">
        <v>59</v>
      </c>
      <c r="F2" s="3" t="s">
        <v>56</v>
      </c>
      <c r="G2" s="3" t="s">
        <v>58</v>
      </c>
      <c r="H2" s="3" t="s">
        <v>60</v>
      </c>
      <c r="I2" s="3" t="s">
        <v>31</v>
      </c>
      <c r="J2" s="3" t="s">
        <v>44</v>
      </c>
      <c r="K2" s="3" t="s">
        <v>70</v>
      </c>
      <c r="L2" s="3" t="s">
        <v>39</v>
      </c>
      <c r="M2" s="3" t="s">
        <v>32</v>
      </c>
      <c r="N2" s="3" t="s">
        <v>204</v>
      </c>
      <c r="O2" s="3" t="s">
        <v>78</v>
      </c>
      <c r="P2" s="3" t="s">
        <v>41</v>
      </c>
      <c r="Q2" s="3" t="s">
        <v>153</v>
      </c>
      <c r="R2" s="3" t="s">
        <v>154</v>
      </c>
      <c r="S2" s="3" t="s">
        <v>156</v>
      </c>
      <c r="T2" s="3" t="s">
        <v>157</v>
      </c>
      <c r="U2" s="3" t="s">
        <v>158</v>
      </c>
      <c r="V2" s="3" t="s">
        <v>159</v>
      </c>
      <c r="W2" s="3" t="s">
        <v>160</v>
      </c>
      <c r="X2" s="3" t="s">
        <v>161</v>
      </c>
      <c r="Y2" s="3" t="s">
        <v>163</v>
      </c>
      <c r="Z2" s="3" t="s">
        <v>200</v>
      </c>
      <c r="AA2" s="3" t="s">
        <v>164</v>
      </c>
      <c r="AB2" s="9" t="s">
        <v>30</v>
      </c>
      <c r="AC2" s="7" t="s">
        <v>155</v>
      </c>
      <c r="AD2" s="7" t="s">
        <v>165</v>
      </c>
      <c r="AE2" s="7" t="s">
        <v>162</v>
      </c>
      <c r="AF2" s="7" t="s">
        <v>15</v>
      </c>
      <c r="AG2" s="7" t="s">
        <v>0</v>
      </c>
      <c r="AH2" s="7" t="s">
        <v>2</v>
      </c>
      <c r="AI2" s="7"/>
      <c r="AJ2" s="7" t="s">
        <v>25</v>
      </c>
      <c r="AK2" s="7" t="s">
        <v>26</v>
      </c>
      <c r="AL2" s="7"/>
      <c r="AM2" s="7" t="s">
        <v>45</v>
      </c>
      <c r="AN2" s="7" t="s">
        <v>46</v>
      </c>
      <c r="AO2" s="7" t="s">
        <v>47</v>
      </c>
      <c r="AP2" s="7" t="s">
        <v>48</v>
      </c>
      <c r="AQ2" s="7"/>
      <c r="AR2" s="7" t="s">
        <v>49</v>
      </c>
      <c r="AS2" s="7" t="s">
        <v>50</v>
      </c>
      <c r="AT2" s="7" t="s">
        <v>51</v>
      </c>
      <c r="AU2" s="7" t="s">
        <v>52</v>
      </c>
      <c r="AV2" s="7"/>
      <c r="AW2" s="7" t="s">
        <v>69</v>
      </c>
      <c r="AX2" s="7" t="s">
        <v>72</v>
      </c>
      <c r="AY2" s="7" t="s">
        <v>73</v>
      </c>
    </row>
    <row r="3" spans="1:51">
      <c r="A3">
        <v>1</v>
      </c>
      <c r="B3" s="1" t="s">
        <v>22</v>
      </c>
      <c r="C3" s="11">
        <v>300</v>
      </c>
      <c r="D3" s="11">
        <v>100</v>
      </c>
      <c r="E3" s="2">
        <v>3</v>
      </c>
      <c r="F3" s="5">
        <v>1</v>
      </c>
      <c r="G3" s="5">
        <v>0</v>
      </c>
      <c r="H3" s="2">
        <v>1</v>
      </c>
      <c r="I3" s="5" t="b">
        <v>1</v>
      </c>
      <c r="J3" s="5" t="str">
        <f>"Text "&amp;IF(I3,"C","L")&amp;TEXT(V3,"0.0")&amp;" S"&amp;TEXT(Y3,"0.0")</f>
        <v>Text C1.0 S0.7</v>
      </c>
      <c r="K3" s="5" t="b">
        <v>1</v>
      </c>
      <c r="L3" s="2">
        <v>4</v>
      </c>
      <c r="M3" s="5" t="s">
        <v>33</v>
      </c>
      <c r="N3" s="5">
        <v>0.1</v>
      </c>
      <c r="O3" s="2" t="s">
        <v>13</v>
      </c>
      <c r="P3" s="2" t="s">
        <v>42</v>
      </c>
      <c r="Q3" s="5">
        <v>2.6</v>
      </c>
      <c r="R3" s="5">
        <v>26</v>
      </c>
      <c r="S3" s="5">
        <v>4.0999999999999996</v>
      </c>
      <c r="T3" s="5">
        <v>0.7</v>
      </c>
      <c r="U3" s="5">
        <v>0.9</v>
      </c>
      <c r="V3" s="5">
        <v>1</v>
      </c>
      <c r="W3" s="5">
        <v>0.1</v>
      </c>
      <c r="X3" s="5">
        <v>2</v>
      </c>
      <c r="Y3" s="5">
        <v>0.7</v>
      </c>
      <c r="Z3" s="5">
        <v>1E-3</v>
      </c>
      <c r="AA3" s="5">
        <v>1E-3</v>
      </c>
      <c r="AB3" s="10">
        <f>C3*25.4/1000</f>
        <v>7.62</v>
      </c>
      <c r="AC3" s="38">
        <f>Q3/L3</f>
        <v>0.65</v>
      </c>
      <c r="AD3" s="38">
        <f>Q3 * PI()</f>
        <v>8.1681408993334621</v>
      </c>
      <c r="AE3" s="38">
        <f>T3* 1.2</f>
        <v>0.84</v>
      </c>
      <c r="AF3" s="8" t="str">
        <f t="shared" ref="AF3:AF6" si="0">"AXIAL-"&amp;TEXT(C3/1000,"0.0##")</f>
        <v>AXIAL-0.3</v>
      </c>
      <c r="AG3" s="8" t="str">
        <f>B3&amp;" "&amp;AF3&amp;" "&amp;M3</f>
        <v>DO-41 AXIAL-0.3 Glass</v>
      </c>
      <c r="AH3" s="8">
        <f>HEX2DEC(MID($P3,2,6))</f>
        <v>16777215</v>
      </c>
      <c r="AI3" s="8"/>
      <c r="AJ3" s="8" t="str">
        <f>IF($M3="Glass","U","S")</f>
        <v>U</v>
      </c>
      <c r="AK3" s="8" t="str">
        <f>IF($M3="Glass","U","S")</f>
        <v>U</v>
      </c>
      <c r="AL3" s="8"/>
      <c r="AM3" s="8" t="str">
        <f>IF(MID(AM$2,8,255)=$J3,"U","S")</f>
        <v>U</v>
      </c>
      <c r="AN3" s="8" t="str">
        <f t="shared" ref="AN3:AP3" si="1">IF(MID(AN$2,8,255)=$J3,"U","S")</f>
        <v>S</v>
      </c>
      <c r="AO3" s="8" t="str">
        <f t="shared" si="1"/>
        <v>S</v>
      </c>
      <c r="AP3" s="8" t="str">
        <f t="shared" si="1"/>
        <v>S</v>
      </c>
      <c r="AQ3" s="8"/>
      <c r="AR3" s="8" t="s">
        <v>17</v>
      </c>
      <c r="AS3" s="8" t="s">
        <v>17</v>
      </c>
      <c r="AT3" s="8" t="s">
        <v>17</v>
      </c>
      <c r="AU3" s="8" t="s">
        <v>17</v>
      </c>
      <c r="AV3" s="8"/>
      <c r="AW3" s="8" t="str">
        <f>IF($K3,"U","S")</f>
        <v>U</v>
      </c>
      <c r="AX3" s="8" t="str">
        <f t="shared" ref="AX3:AY7" si="2">IF($K3,"U","S")</f>
        <v>U</v>
      </c>
      <c r="AY3" s="8" t="str">
        <f t="shared" si="2"/>
        <v>U</v>
      </c>
    </row>
    <row r="4" spans="1:51">
      <c r="A4">
        <v>2</v>
      </c>
      <c r="B4" s="1" t="s">
        <v>23</v>
      </c>
      <c r="C4" s="11">
        <v>600</v>
      </c>
      <c r="D4" s="11">
        <v>100</v>
      </c>
      <c r="E4" s="2">
        <v>3</v>
      </c>
      <c r="F4" s="5">
        <v>1</v>
      </c>
      <c r="G4" s="5">
        <v>0</v>
      </c>
      <c r="H4" s="2">
        <v>1</v>
      </c>
      <c r="I4" s="5" t="b">
        <v>0</v>
      </c>
      <c r="J4" s="5" t="str">
        <f>"Text "&amp;IF(I4,"C","L")&amp;TEXT(V4,"0.0")&amp;" S"&amp;TEXT(Y4,"0.0")</f>
        <v>Text L2.0 S0.7</v>
      </c>
      <c r="K4" s="5" t="b">
        <v>1</v>
      </c>
      <c r="L4" s="2">
        <v>64</v>
      </c>
      <c r="M4" s="5" t="s">
        <v>34</v>
      </c>
      <c r="N4" s="5">
        <v>0.1</v>
      </c>
      <c r="O4" s="2" t="s">
        <v>16</v>
      </c>
      <c r="P4" s="2" t="s">
        <v>43</v>
      </c>
      <c r="Q4" s="5">
        <v>5.3</v>
      </c>
      <c r="R4" s="5">
        <v>25.4</v>
      </c>
      <c r="S4" s="5">
        <v>9.5</v>
      </c>
      <c r="T4" s="5">
        <v>1.3</v>
      </c>
      <c r="U4" s="5">
        <v>1.8</v>
      </c>
      <c r="V4" s="5">
        <v>2</v>
      </c>
      <c r="W4" s="5">
        <v>1E-3</v>
      </c>
      <c r="X4" s="5">
        <v>2</v>
      </c>
      <c r="Y4" s="5">
        <v>0.7</v>
      </c>
      <c r="Z4" s="5">
        <v>0.4</v>
      </c>
      <c r="AA4" s="5">
        <v>0.4</v>
      </c>
      <c r="AB4" s="10">
        <f>C4*25.4/1000</f>
        <v>15.24</v>
      </c>
      <c r="AC4" s="38">
        <f>Q4/L4</f>
        <v>8.2812499999999997E-2</v>
      </c>
      <c r="AD4" s="38">
        <f t="shared" ref="AD4:AD7" si="3">Q4 * PI()</f>
        <v>16.650441064025902</v>
      </c>
      <c r="AE4" s="38">
        <f t="shared" ref="AE4:AE7" si="4">T4* 1.2</f>
        <v>1.56</v>
      </c>
      <c r="AF4" s="8" t="str">
        <f t="shared" si="0"/>
        <v>AXIAL-0.6</v>
      </c>
      <c r="AG4" s="8" t="str">
        <f>B4&amp;" "&amp;AF4&amp;" "&amp;M4</f>
        <v>DO-201AD AXIAL-0.6 Plastic</v>
      </c>
      <c r="AH4" s="8">
        <f t="shared" ref="AH4:AH7" si="5">HEX2DEC(MID($P4,2,6))</f>
        <v>328965</v>
      </c>
      <c r="AI4" s="8"/>
      <c r="AJ4" s="8" t="str">
        <f t="shared" ref="AJ4:AK7" si="6">IF($M4="Glass","U","S")</f>
        <v>S</v>
      </c>
      <c r="AK4" s="8" t="str">
        <f t="shared" si="6"/>
        <v>S</v>
      </c>
      <c r="AL4" s="8"/>
      <c r="AM4" s="8" t="str">
        <f t="shared" ref="AM4:AP7" si="7">IF(MID(AM$2,8,255)=$J4,"U","S")</f>
        <v>S</v>
      </c>
      <c r="AN4" s="8" t="str">
        <f t="shared" si="7"/>
        <v>U</v>
      </c>
      <c r="AO4" s="8" t="str">
        <f t="shared" si="7"/>
        <v>S</v>
      </c>
      <c r="AP4" s="8" t="str">
        <f t="shared" si="7"/>
        <v>S</v>
      </c>
      <c r="AQ4" s="8"/>
      <c r="AR4" s="8" t="s">
        <v>17</v>
      </c>
      <c r="AS4" s="8" t="s">
        <v>17</v>
      </c>
      <c r="AT4" s="8" t="s">
        <v>17</v>
      </c>
      <c r="AU4" s="8" t="s">
        <v>17</v>
      </c>
      <c r="AV4" s="8"/>
      <c r="AW4" s="8" t="str">
        <f t="shared" ref="AW4:AW7" si="8">IF($K4,"U","S")</f>
        <v>U</v>
      </c>
      <c r="AX4" s="8" t="str">
        <f t="shared" si="2"/>
        <v>U</v>
      </c>
      <c r="AY4" s="8" t="str">
        <f t="shared" si="2"/>
        <v>U</v>
      </c>
    </row>
    <row r="5" spans="1:51">
      <c r="A5">
        <v>3</v>
      </c>
      <c r="B5" s="1" t="s">
        <v>24</v>
      </c>
      <c r="C5" s="11">
        <v>500</v>
      </c>
      <c r="D5" s="11">
        <v>100</v>
      </c>
      <c r="E5" s="2">
        <v>4</v>
      </c>
      <c r="F5" s="5">
        <v>1</v>
      </c>
      <c r="G5" s="5">
        <v>0</v>
      </c>
      <c r="H5" s="2">
        <v>1</v>
      </c>
      <c r="I5" s="5" t="b">
        <v>0</v>
      </c>
      <c r="J5" s="5" t="str">
        <f>"Text "&amp;IF(I5,"C","L")&amp;TEXT(V5,"0.0")&amp;" S"&amp;TEXT(Y5,"0.0")</f>
        <v>Text L1.2 S0.6</v>
      </c>
      <c r="K5" s="5" t="b">
        <v>1</v>
      </c>
      <c r="L5" s="2">
        <v>64</v>
      </c>
      <c r="M5" s="5" t="s">
        <v>34</v>
      </c>
      <c r="N5" s="5">
        <v>0.1</v>
      </c>
      <c r="O5" s="2" t="s">
        <v>16</v>
      </c>
      <c r="P5" s="2" t="s">
        <v>43</v>
      </c>
      <c r="Q5" s="5">
        <v>3.68</v>
      </c>
      <c r="R5" s="5">
        <v>25.4</v>
      </c>
      <c r="S5" s="5">
        <v>8.89</v>
      </c>
      <c r="T5" s="5">
        <v>1.0900000000000001</v>
      </c>
      <c r="U5" s="5">
        <v>1.5</v>
      </c>
      <c r="V5" s="5">
        <v>1.2</v>
      </c>
      <c r="W5" s="5">
        <v>1E-3</v>
      </c>
      <c r="X5" s="5">
        <v>2</v>
      </c>
      <c r="Y5" s="5">
        <v>0.6</v>
      </c>
      <c r="Z5" s="5">
        <v>1</v>
      </c>
      <c r="AA5" s="5">
        <v>0.4</v>
      </c>
      <c r="AB5" s="10">
        <f>C5*25.4/1000</f>
        <v>12.7</v>
      </c>
      <c r="AC5" s="38">
        <f>Q5/L5</f>
        <v>5.7500000000000002E-2</v>
      </c>
      <c r="AD5" s="38">
        <f t="shared" si="3"/>
        <v>11.561060965210439</v>
      </c>
      <c r="AE5" s="38">
        <f t="shared" si="4"/>
        <v>1.3080000000000001</v>
      </c>
      <c r="AF5" s="8" t="str">
        <f t="shared" si="0"/>
        <v>AXIAL-0.5</v>
      </c>
      <c r="AG5" s="8" t="str">
        <f>B5&amp;" "&amp;AF5&amp;" "&amp;M5</f>
        <v>017AA AXIAL-0.5 Plastic</v>
      </c>
      <c r="AH5" s="8">
        <f t="shared" si="5"/>
        <v>328965</v>
      </c>
      <c r="AI5" s="8"/>
      <c r="AJ5" s="8" t="str">
        <f t="shared" si="6"/>
        <v>S</v>
      </c>
      <c r="AK5" s="8" t="str">
        <f t="shared" si="6"/>
        <v>S</v>
      </c>
      <c r="AL5" s="8"/>
      <c r="AM5" s="8" t="str">
        <f t="shared" si="7"/>
        <v>S</v>
      </c>
      <c r="AN5" s="8" t="str">
        <f t="shared" si="7"/>
        <v>S</v>
      </c>
      <c r="AO5" s="8" t="str">
        <f t="shared" si="7"/>
        <v>U</v>
      </c>
      <c r="AP5" s="8" t="str">
        <f t="shared" si="7"/>
        <v>S</v>
      </c>
      <c r="AQ5" s="8"/>
      <c r="AR5" s="8" t="s">
        <v>17</v>
      </c>
      <c r="AS5" s="8" t="s">
        <v>17</v>
      </c>
      <c r="AT5" s="8" t="s">
        <v>17</v>
      </c>
      <c r="AU5" s="8" t="s">
        <v>17</v>
      </c>
      <c r="AV5" s="8"/>
      <c r="AW5" s="8" t="str">
        <f t="shared" si="8"/>
        <v>U</v>
      </c>
      <c r="AX5" s="8" t="str">
        <f t="shared" si="2"/>
        <v>U</v>
      </c>
      <c r="AY5" s="8" t="str">
        <f t="shared" si="2"/>
        <v>U</v>
      </c>
    </row>
    <row r="6" spans="1:51">
      <c r="A6">
        <v>4</v>
      </c>
      <c r="B6" s="1" t="s">
        <v>29</v>
      </c>
      <c r="C6" s="11">
        <v>300</v>
      </c>
      <c r="D6" s="11">
        <v>100</v>
      </c>
      <c r="E6" s="2">
        <v>4</v>
      </c>
      <c r="F6" s="5">
        <v>1</v>
      </c>
      <c r="G6" s="5">
        <v>0</v>
      </c>
      <c r="H6" s="2">
        <v>1</v>
      </c>
      <c r="I6" s="5" t="b">
        <v>1</v>
      </c>
      <c r="J6" s="5" t="str">
        <f>"Text "&amp;IF(I6,"C","L")&amp;TEXT(V6,"0.0")&amp;" S"&amp;TEXT(Y6,"0.0")</f>
        <v>Text C1.3 S0.2</v>
      </c>
      <c r="K6" s="5" t="b">
        <v>1</v>
      </c>
      <c r="L6" s="2">
        <v>64</v>
      </c>
      <c r="M6" s="5" t="s">
        <v>34</v>
      </c>
      <c r="N6" s="5">
        <v>0.1</v>
      </c>
      <c r="O6" s="2" t="s">
        <v>16</v>
      </c>
      <c r="P6" s="2" t="s">
        <v>43</v>
      </c>
      <c r="Q6" s="5">
        <v>2.7</v>
      </c>
      <c r="R6" s="5">
        <v>25.4</v>
      </c>
      <c r="S6" s="5">
        <v>5.2</v>
      </c>
      <c r="T6" s="5">
        <v>0.86</v>
      </c>
      <c r="U6" s="5">
        <v>0.96</v>
      </c>
      <c r="V6" s="5">
        <v>1.3</v>
      </c>
      <c r="W6" s="5">
        <v>1E-3</v>
      </c>
      <c r="X6" s="5">
        <v>2</v>
      </c>
      <c r="Y6" s="5">
        <v>0.16</v>
      </c>
      <c r="Z6" s="5">
        <v>1E-3</v>
      </c>
      <c r="AA6" s="5">
        <v>1E-3</v>
      </c>
      <c r="AB6" s="10">
        <f>C6*25.4/1000</f>
        <v>7.62</v>
      </c>
      <c r="AC6" s="38">
        <f>Q6/L6</f>
        <v>4.2187500000000003E-2</v>
      </c>
      <c r="AD6" s="38">
        <f t="shared" si="3"/>
        <v>8.4823001646924414</v>
      </c>
      <c r="AE6" s="38">
        <f t="shared" si="4"/>
        <v>1.032</v>
      </c>
      <c r="AF6" s="8" t="str">
        <f t="shared" si="0"/>
        <v>AXIAL-0.3</v>
      </c>
      <c r="AG6" s="8" t="str">
        <f>B6&amp;" "&amp;AF6&amp;" "&amp;M6</f>
        <v>DO-204AL AXIAL-0.3 Plastic</v>
      </c>
      <c r="AH6" s="8">
        <f t="shared" si="5"/>
        <v>328965</v>
      </c>
      <c r="AI6" s="8"/>
      <c r="AJ6" s="8" t="str">
        <f t="shared" si="6"/>
        <v>S</v>
      </c>
      <c r="AK6" s="8" t="str">
        <f t="shared" si="6"/>
        <v>S</v>
      </c>
      <c r="AL6" s="8"/>
      <c r="AM6" s="8" t="str">
        <f t="shared" si="7"/>
        <v>S</v>
      </c>
      <c r="AN6" s="8" t="str">
        <f t="shared" si="7"/>
        <v>S</v>
      </c>
      <c r="AO6" s="8" t="str">
        <f t="shared" si="7"/>
        <v>S</v>
      </c>
      <c r="AP6" s="8" t="str">
        <f t="shared" si="7"/>
        <v>U</v>
      </c>
      <c r="AQ6" s="8"/>
      <c r="AR6" s="8" t="s">
        <v>17</v>
      </c>
      <c r="AS6" s="8" t="s">
        <v>17</v>
      </c>
      <c r="AT6" s="8" t="s">
        <v>17</v>
      </c>
      <c r="AU6" s="8" t="s">
        <v>17</v>
      </c>
      <c r="AV6" s="8"/>
      <c r="AW6" s="8" t="str">
        <f t="shared" si="8"/>
        <v>U</v>
      </c>
      <c r="AX6" s="8" t="str">
        <f t="shared" si="2"/>
        <v>U</v>
      </c>
      <c r="AY6" s="8" t="str">
        <f t="shared" si="2"/>
        <v>U</v>
      </c>
    </row>
    <row r="7" spans="1:51">
      <c r="A7">
        <v>5</v>
      </c>
      <c r="B7" t="s">
        <v>54</v>
      </c>
      <c r="C7" s="11">
        <v>250</v>
      </c>
      <c r="D7" s="11">
        <v>100</v>
      </c>
      <c r="E7" s="2">
        <v>2</v>
      </c>
      <c r="F7" s="5">
        <v>1</v>
      </c>
      <c r="G7" s="5">
        <v>5</v>
      </c>
      <c r="H7" s="2">
        <v>5</v>
      </c>
      <c r="I7" s="5" t="b">
        <v>1</v>
      </c>
      <c r="J7" s="5" t="s">
        <v>55</v>
      </c>
      <c r="K7" s="5" t="b">
        <v>0</v>
      </c>
      <c r="L7" s="2">
        <v>8</v>
      </c>
      <c r="M7" s="5" t="s">
        <v>33</v>
      </c>
      <c r="N7" s="5">
        <v>0.2</v>
      </c>
      <c r="O7" s="2" t="s">
        <v>13</v>
      </c>
      <c r="P7" s="2" t="s">
        <v>42</v>
      </c>
      <c r="Q7" s="5">
        <v>2</v>
      </c>
      <c r="R7" s="5">
        <v>28</v>
      </c>
      <c r="S7" s="5">
        <v>4</v>
      </c>
      <c r="T7" s="5">
        <v>0.5</v>
      </c>
      <c r="U7" s="5">
        <v>1</v>
      </c>
      <c r="V7" s="5">
        <v>1.3</v>
      </c>
      <c r="W7" s="5">
        <v>0.1</v>
      </c>
      <c r="X7" s="5">
        <v>2</v>
      </c>
      <c r="Y7" s="5">
        <v>0.16</v>
      </c>
      <c r="Z7" s="5">
        <v>0.4</v>
      </c>
      <c r="AA7" s="5">
        <v>0.4</v>
      </c>
      <c r="AB7" s="10">
        <f>C7*25.4/1000</f>
        <v>6.35</v>
      </c>
      <c r="AC7" s="38">
        <f>Q7/L7</f>
        <v>0.25</v>
      </c>
      <c r="AD7" s="38">
        <f t="shared" si="3"/>
        <v>6.2831853071795862</v>
      </c>
      <c r="AE7" s="38">
        <f t="shared" si="4"/>
        <v>0.6</v>
      </c>
      <c r="AF7" s="8" t="str">
        <f>"AXIAL-"&amp;TEXT(C7/1000,"0.0##")</f>
        <v>AXIAL-0.25</v>
      </c>
      <c r="AG7" s="8" t="str">
        <f>B7&amp;" "&amp;AF7&amp;" "&amp;M7</f>
        <v>DO-35 AXIAL-0.25 Glass</v>
      </c>
      <c r="AH7" s="8">
        <f t="shared" si="5"/>
        <v>16777215</v>
      </c>
      <c r="AI7" s="8"/>
      <c r="AJ7" s="8" t="str">
        <f t="shared" si="6"/>
        <v>U</v>
      </c>
      <c r="AK7" s="8" t="str">
        <f t="shared" si="6"/>
        <v>U</v>
      </c>
      <c r="AL7" s="8"/>
      <c r="AM7" s="8" t="str">
        <f t="shared" si="7"/>
        <v>S</v>
      </c>
      <c r="AN7" s="8" t="str">
        <f t="shared" si="7"/>
        <v>S</v>
      </c>
      <c r="AO7" s="8" t="str">
        <f t="shared" si="7"/>
        <v>S</v>
      </c>
      <c r="AP7" s="8" t="str">
        <f t="shared" si="7"/>
        <v>S</v>
      </c>
      <c r="AQ7" s="8"/>
      <c r="AR7" s="8" t="s">
        <v>17</v>
      </c>
      <c r="AS7" s="8" t="s">
        <v>17</v>
      </c>
      <c r="AT7" s="8" t="s">
        <v>17</v>
      </c>
      <c r="AU7" s="8" t="s">
        <v>17</v>
      </c>
      <c r="AV7" s="8"/>
      <c r="AW7" s="8" t="str">
        <f t="shared" si="8"/>
        <v>S</v>
      </c>
      <c r="AX7" s="8" t="str">
        <f t="shared" si="2"/>
        <v>S</v>
      </c>
      <c r="AY7" s="8" t="str">
        <f t="shared" si="2"/>
        <v>S</v>
      </c>
    </row>
    <row r="8" spans="1:51">
      <c r="A8">
        <v>6</v>
      </c>
      <c r="C8" s="6"/>
      <c r="D8" s="6"/>
      <c r="E8" s="6"/>
      <c r="F8" s="6"/>
      <c r="G8" s="6"/>
      <c r="H8" s="6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</row>
    <row r="9" spans="1:51">
      <c r="A9">
        <v>7</v>
      </c>
      <c r="C9" s="6"/>
      <c r="D9" s="6"/>
      <c r="E9" s="6"/>
      <c r="F9" s="6"/>
      <c r="G9" s="6"/>
      <c r="H9" s="6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51">
      <c r="A10">
        <v>8</v>
      </c>
      <c r="C10" s="6"/>
      <c r="D10" s="6"/>
      <c r="E10" s="6"/>
      <c r="F10" s="6"/>
      <c r="G10" s="6"/>
      <c r="H10" s="6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51">
      <c r="A11">
        <v>9</v>
      </c>
      <c r="C11" s="6"/>
      <c r="D11" s="6"/>
      <c r="E11" s="6"/>
      <c r="F11" s="6"/>
      <c r="G11" s="6"/>
      <c r="H11" s="6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51">
      <c r="C12" s="6"/>
      <c r="D12" s="6"/>
      <c r="E12" s="6"/>
      <c r="F12" s="6"/>
      <c r="G12" s="6"/>
      <c r="H12" s="6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51">
      <c r="C13" s="6"/>
      <c r="D13" s="6"/>
      <c r="E13" s="6"/>
      <c r="F13" s="6"/>
      <c r="G13" s="6"/>
      <c r="H13" s="6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  <row r="14" spans="1:51">
      <c r="C14" s="6"/>
      <c r="D14" s="6"/>
      <c r="E14" s="6"/>
      <c r="F14" s="6"/>
      <c r="G14" s="6"/>
      <c r="H14" s="6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</row>
    <row r="15" spans="1:51">
      <c r="C15" s="6"/>
      <c r="D15" s="6"/>
      <c r="E15" s="6"/>
      <c r="F15" s="6"/>
      <c r="G15" s="6"/>
      <c r="H15" s="6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</row>
    <row r="16" spans="1:51">
      <c r="C16" s="6"/>
      <c r="D16" s="6"/>
      <c r="E16" s="6"/>
      <c r="F16" s="6"/>
      <c r="G16" s="6"/>
      <c r="H16" s="6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</row>
    <row r="17" spans="3:32">
      <c r="C17" s="6"/>
      <c r="D17" s="6"/>
      <c r="E17" s="6"/>
      <c r="F17" s="6"/>
      <c r="G17" s="6"/>
      <c r="H17" s="6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</row>
    <row r="18" spans="3:32">
      <c r="C18" s="6"/>
      <c r="D18" s="6"/>
      <c r="E18" s="6"/>
      <c r="F18" s="6"/>
      <c r="G18" s="6"/>
      <c r="H18" s="6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</row>
    <row r="19" spans="3:32">
      <c r="C19" s="6"/>
      <c r="D19" s="6"/>
      <c r="E19" s="6"/>
      <c r="F19" s="6"/>
      <c r="G19" s="6"/>
      <c r="H19" s="6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</row>
    <row r="20" spans="3:32">
      <c r="C20" s="6"/>
      <c r="D20" s="6"/>
      <c r="E20" s="6"/>
      <c r="F20" s="6"/>
      <c r="G20" s="6"/>
      <c r="H20" s="6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spans="3:32">
      <c r="C21" s="6"/>
      <c r="D21" s="6"/>
      <c r="E21" s="6"/>
      <c r="F21" s="6"/>
      <c r="G21" s="6"/>
      <c r="H21" s="6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</row>
    <row r="22" spans="3:32">
      <c r="C22" s="6"/>
      <c r="D22" s="6"/>
      <c r="E22" s="6"/>
      <c r="F22" s="6"/>
      <c r="G22" s="6"/>
      <c r="H22" s="6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</row>
    <row r="23" spans="3:32">
      <c r="C23" s="6"/>
      <c r="D23" s="6"/>
      <c r="E23" s="6"/>
      <c r="F23" s="6"/>
      <c r="G23" s="6"/>
      <c r="H23" s="6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</row>
    <row r="24" spans="3:32">
      <c r="C24" s="6"/>
      <c r="D24" s="6"/>
      <c r="E24" s="6"/>
      <c r="F24" s="6"/>
      <c r="G24" s="6"/>
      <c r="H24" s="6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spans="3:32">
      <c r="C25" s="6"/>
      <c r="D25" s="6"/>
      <c r="E25" s="6"/>
      <c r="F25" s="6"/>
      <c r="G25" s="6"/>
      <c r="H25" s="6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</row>
    <row r="26" spans="3:32">
      <c r="C26" s="6"/>
      <c r="D26" s="6"/>
      <c r="E26" s="6"/>
      <c r="F26" s="6"/>
      <c r="G26" s="6"/>
      <c r="H26" s="6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</row>
    <row r="27" spans="3:32">
      <c r="C27" s="6"/>
      <c r="D27" s="6"/>
      <c r="E27" s="6"/>
      <c r="F27" s="6"/>
      <c r="G27" s="6"/>
      <c r="H27" s="6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</row>
  </sheetData>
  <sortState ref="AR13:AR16">
    <sortCondition ref="AR3"/>
  </sortState>
  <conditionalFormatting sqref="BI7:BN17 BQ7:BS17">
    <cfRule type="expression" dxfId="23" priority="6">
      <formula>$BT7</formula>
    </cfRule>
  </conditionalFormatting>
  <conditionalFormatting sqref="AS8:AU17 AK8:AP17">
    <cfRule type="expression" dxfId="22" priority="5">
      <formula>$AV8</formula>
    </cfRule>
  </conditionalFormatting>
  <conditionalFormatting sqref="AS8:AU17">
    <cfRule type="expression" dxfId="21" priority="4">
      <formula>$AV8</formula>
    </cfRule>
  </conditionalFormatting>
  <conditionalFormatting sqref="BH7:BM17 BP7:BR17">
    <cfRule type="expression" dxfId="20" priority="3">
      <formula>$BS7</formula>
    </cfRule>
  </conditionalFormatting>
  <conditionalFormatting sqref="AR8:AT17 AJ8:AO17">
    <cfRule type="expression" dxfId="19" priority="2">
      <formula>$AU8</formula>
    </cfRule>
  </conditionalFormatting>
  <conditionalFormatting sqref="AR8:AT17">
    <cfRule type="expression" dxfId="18" priority="1">
      <formula>$AU8</formula>
    </cfRule>
  </conditionalFormatting>
  <dataValidations disablePrompts="1" count="2">
    <dataValidation type="list" allowBlank="1" showInputMessage="1" showErrorMessage="1" errorTitle="SOLIDWORKS Error:" error="The value you have entered is invalid.  Please enter a valid value before continuing." promptTitle="$STATE@Text3" prompt="Select to suppress or unsuppress the feature_x000a_Possible Options:_x000a_Suppressed_x000a_Unsuppressed_x000a_S = Suppressed_x000a_U = Unsuppressed_x000a_1 = Suppressed_x000a_0 = Unsuppressed" sqref="AV3:AV7">
      <formula1>"SUPPRESSED,UNSUPPRESSED,S,U,1,0"</formula1>
    </dataValidation>
    <dataValidation allowBlank="1" showInputMessage="1" promptTitle="$COMMENT" prompt="Enter the comment." sqref="AF8:AF10"/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28</vt:i4>
      </vt:variant>
    </vt:vector>
  </HeadingPairs>
  <TitlesOfParts>
    <vt:vector size="31" baseType="lpstr">
      <vt:lpstr>Sheet1</vt:lpstr>
      <vt:lpstr>Design Table Calc1</vt:lpstr>
      <vt:lpstr>Package Dimensions</vt:lpstr>
      <vt:lpstr>_SWX_0</vt:lpstr>
      <vt:lpstr>Case_Circumference</vt:lpstr>
      <vt:lpstr>Case_Diameter</vt:lpstr>
      <vt:lpstr>Case_Length</vt:lpstr>
      <vt:lpstr>Cathode_Indicator_Ring_Width</vt:lpstr>
      <vt:lpstr>Config_Lead_Spacing</vt:lpstr>
      <vt:lpstr>Config_Stand_Off</vt:lpstr>
      <vt:lpstr>End_Fillet_Radius</vt:lpstr>
      <vt:lpstr>Family</vt:lpstr>
      <vt:lpstr>Lead_Bend_Radius</vt:lpstr>
      <vt:lpstr>Lead_Diameter</vt:lpstr>
      <vt:lpstr>Lead_Extend_Length</vt:lpstr>
      <vt:lpstr>Lead_Length</vt:lpstr>
      <vt:lpstr>Lead_Spacing</vt:lpstr>
      <vt:lpstr>Lead_Spacing__mils</vt:lpstr>
      <vt:lpstr>Lead_Spacing_Increment</vt:lpstr>
      <vt:lpstr>Lead_Spacing_Text</vt:lpstr>
      <vt:lpstr>Package</vt:lpstr>
      <vt:lpstr>Parent?</vt:lpstr>
      <vt:lpstr>PkgInstanceHdr</vt:lpstr>
      <vt:lpstr>PkgInstanceValues</vt:lpstr>
      <vt:lpstr>PkgTable</vt:lpstr>
      <vt:lpstr>PkgTblHdr</vt:lpstr>
      <vt:lpstr>Protrusion_Length</vt:lpstr>
      <vt:lpstr>Stand_Off</vt:lpstr>
      <vt:lpstr>Stand_Off_Increment</vt:lpstr>
      <vt:lpstr>Stand_Off_Text</vt:lpstr>
      <vt:lpstr>Text_Height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2016-03-26T17:03:20Z</dcterms:created>
  <dcterms:modified xsi:type="dcterms:W3CDTF">2016-03-28T12:47:45Z</dcterms:modified>
</cp:coreProperties>
</file>