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5" yWindow="45" windowWidth="18375" windowHeight="18240"/>
  </bookViews>
  <sheets>
    <sheet name="Sheet1" sheetId="1" r:id="rId1"/>
    <sheet name="Sheet2" sheetId="2" r:id="rId2"/>
  </sheets>
  <definedNames>
    <definedName name="Family">Sheet1!$A$2</definedName>
  </definedNames>
  <calcPr calcId="125725"/>
</workbook>
</file>

<file path=xl/calcChain.xml><?xml version="1.0" encoding="utf-8"?>
<calcChain xmlns="http://schemas.openxmlformats.org/spreadsheetml/2006/main">
  <c r="B4" i="1"/>
  <c r="B5"/>
  <c r="B6"/>
  <c r="B7"/>
  <c r="B8"/>
  <c r="B3"/>
  <c r="A3"/>
  <c r="A4"/>
  <c r="A5"/>
  <c r="A6"/>
  <c r="A7"/>
  <c r="A8"/>
  <c r="O7" i="2"/>
  <c r="L7"/>
  <c r="G7"/>
  <c r="M7" s="1"/>
  <c r="E7"/>
  <c r="O6"/>
  <c r="L6"/>
  <c r="G6"/>
  <c r="M6" s="1"/>
  <c r="E6"/>
  <c r="O5"/>
  <c r="L5"/>
  <c r="G5"/>
  <c r="M5" s="1"/>
  <c r="E5"/>
  <c r="O4"/>
  <c r="M4"/>
  <c r="L4"/>
  <c r="E4"/>
  <c r="O3"/>
  <c r="L3"/>
  <c r="G3"/>
  <c r="H3" s="1"/>
  <c r="E3"/>
  <c r="O2"/>
  <c r="L2"/>
  <c r="H2"/>
  <c r="G2"/>
  <c r="M2" s="1"/>
  <c r="E2"/>
  <c r="BI8" i="1"/>
  <c r="BD8"/>
  <c r="BN8" s="1"/>
  <c r="AX8"/>
  <c r="BB8" s="1"/>
  <c r="BG8" s="1"/>
  <c r="AV8"/>
  <c r="Y8" s="1"/>
  <c r="AF8"/>
  <c r="AJ8" s="1"/>
  <c r="AO8" s="1"/>
  <c r="U8"/>
  <c r="T8"/>
  <c r="N8"/>
  <c r="J8"/>
  <c r="F8"/>
  <c r="E8"/>
  <c r="BD7"/>
  <c r="BI7" s="1"/>
  <c r="AX7"/>
  <c r="BM7" s="1"/>
  <c r="AV7"/>
  <c r="Z7" s="1"/>
  <c r="AF7"/>
  <c r="U7"/>
  <c r="T7"/>
  <c r="O7"/>
  <c r="N7"/>
  <c r="BD6"/>
  <c r="BI6" s="1"/>
  <c r="AX6"/>
  <c r="N6" s="1"/>
  <c r="AV6"/>
  <c r="Z6" s="1"/>
  <c r="AF6"/>
  <c r="U6"/>
  <c r="T6"/>
  <c r="K6"/>
  <c r="J6"/>
  <c r="G6"/>
  <c r="BI5"/>
  <c r="BD5"/>
  <c r="BN5" s="1"/>
  <c r="AX5"/>
  <c r="AV5"/>
  <c r="Y5" s="1"/>
  <c r="AF5"/>
  <c r="AW5" s="1"/>
  <c r="U5"/>
  <c r="O5"/>
  <c r="N5"/>
  <c r="F5"/>
  <c r="BI4"/>
  <c r="BD4"/>
  <c r="BN4" s="1"/>
  <c r="AX4"/>
  <c r="O4" s="1"/>
  <c r="AW4"/>
  <c r="BC4" s="1"/>
  <c r="BH4" s="1"/>
  <c r="BM4" s="1"/>
  <c r="AV4"/>
  <c r="Y4" s="1"/>
  <c r="AF4"/>
  <c r="AJ4" s="1"/>
  <c r="AO4" s="1"/>
  <c r="Z4"/>
  <c r="W4"/>
  <c r="U4"/>
  <c r="T4"/>
  <c r="P4"/>
  <c r="N4"/>
  <c r="M4"/>
  <c r="I4"/>
  <c r="H4"/>
  <c r="G4"/>
  <c r="BD3"/>
  <c r="BI3" s="1"/>
  <c r="BN3" s="1"/>
  <c r="AX3"/>
  <c r="AV3"/>
  <c r="W3" s="1"/>
  <c r="K3" l="1"/>
  <c r="E4"/>
  <c r="L4"/>
  <c r="M5"/>
  <c r="W5"/>
  <c r="F7"/>
  <c r="K8"/>
  <c r="G5"/>
  <c r="E7"/>
  <c r="AK7"/>
  <c r="AW8"/>
  <c r="BC8" s="1"/>
  <c r="BH8" s="1"/>
  <c r="AJ7"/>
  <c r="F4"/>
  <c r="K4"/>
  <c r="V4"/>
  <c r="K5"/>
  <c r="O6"/>
  <c r="BN6"/>
  <c r="L7"/>
  <c r="I8"/>
  <c r="O8"/>
  <c r="AK4"/>
  <c r="J7"/>
  <c r="P7"/>
  <c r="AW7"/>
  <c r="AK8"/>
  <c r="G3"/>
  <c r="V3"/>
  <c r="F3"/>
  <c r="L3"/>
  <c r="I5"/>
  <c r="X5"/>
  <c r="F6"/>
  <c r="H7"/>
  <c r="M7"/>
  <c r="G8"/>
  <c r="M8"/>
  <c r="V5"/>
  <c r="J3"/>
  <c r="Z3"/>
  <c r="AA4"/>
  <c r="E5"/>
  <c r="J5"/>
  <c r="Z5"/>
  <c r="I7"/>
  <c r="H6"/>
  <c r="L6"/>
  <c r="P6"/>
  <c r="Y6"/>
  <c r="W8"/>
  <c r="W6"/>
  <c r="J4"/>
  <c r="X6"/>
  <c r="X7"/>
  <c r="H3"/>
  <c r="P3"/>
  <c r="H5"/>
  <c r="L5"/>
  <c r="P5"/>
  <c r="E6"/>
  <c r="I6"/>
  <c r="M6"/>
  <c r="G7"/>
  <c r="K7"/>
  <c r="W7"/>
  <c r="H8"/>
  <c r="L8"/>
  <c r="P8"/>
  <c r="X3"/>
  <c r="BC5"/>
  <c r="BH5" s="1"/>
  <c r="BM5" s="1"/>
  <c r="AY5"/>
  <c r="AH5"/>
  <c r="AI5" s="1"/>
  <c r="AL7"/>
  <c r="AM7" s="1"/>
  <c r="AN7" s="1"/>
  <c r="AZ5"/>
  <c r="V6"/>
  <c r="AA6" s="1"/>
  <c r="AB6" s="1"/>
  <c r="Q6" s="1"/>
  <c r="Y7"/>
  <c r="AO7"/>
  <c r="BB7"/>
  <c r="BG7" s="1"/>
  <c r="BN7"/>
  <c r="X8"/>
  <c r="BM8"/>
  <c r="M3" i="2"/>
  <c r="X4" i="1" s="1"/>
  <c r="AB4" s="1"/>
  <c r="Q4" s="1"/>
  <c r="O3"/>
  <c r="U3"/>
  <c r="Y3"/>
  <c r="AE3"/>
  <c r="AF3" s="1"/>
  <c r="AT5"/>
  <c r="BB6"/>
  <c r="BG6" s="1"/>
  <c r="BL8"/>
  <c r="N3"/>
  <c r="AH4"/>
  <c r="AI4" s="1"/>
  <c r="AT4" s="1"/>
  <c r="AL4"/>
  <c r="AM4" s="1"/>
  <c r="AN4" s="1"/>
  <c r="AY4"/>
  <c r="AJ6"/>
  <c r="AO6" s="1"/>
  <c r="AW6"/>
  <c r="BM6"/>
  <c r="V8"/>
  <c r="AA8" s="1"/>
  <c r="Z8"/>
  <c r="AH8"/>
  <c r="AI8" s="1"/>
  <c r="AT8" s="1"/>
  <c r="AL8"/>
  <c r="AM8" s="1"/>
  <c r="AY8"/>
  <c r="T3"/>
  <c r="AA3" s="1"/>
  <c r="E3"/>
  <c r="I3"/>
  <c r="M3"/>
  <c r="T5"/>
  <c r="AA5" s="1"/>
  <c r="AB5" s="1"/>
  <c r="Q5" s="1"/>
  <c r="AJ5"/>
  <c r="AO5" s="1"/>
  <c r="BA5"/>
  <c r="BF5" s="1"/>
  <c r="BK5" s="1"/>
  <c r="V7"/>
  <c r="AA7" s="1"/>
  <c r="AY7"/>
  <c r="BC7" l="1"/>
  <c r="BH7" s="1"/>
  <c r="BL7" s="1"/>
  <c r="AH7"/>
  <c r="AI7" s="1"/>
  <c r="AT7" s="1"/>
  <c r="AB7"/>
  <c r="Q7" s="1"/>
  <c r="AB3"/>
  <c r="Q3" s="1"/>
  <c r="AP7"/>
  <c r="AS7" s="1"/>
  <c r="AQ7"/>
  <c r="AR7"/>
  <c r="AP4"/>
  <c r="AQ4"/>
  <c r="AR4"/>
  <c r="AZ7"/>
  <c r="BA7"/>
  <c r="BF7" s="1"/>
  <c r="BK7" s="1"/>
  <c r="AZ4"/>
  <c r="AW3"/>
  <c r="AJ3"/>
  <c r="AO3" s="1"/>
  <c r="BB5"/>
  <c r="BG5" s="1"/>
  <c r="BL5" s="1"/>
  <c r="AB8"/>
  <c r="BC6"/>
  <c r="BH6" s="1"/>
  <c r="BL6" s="1"/>
  <c r="AY6"/>
  <c r="AH6"/>
  <c r="AI6" s="1"/>
  <c r="AT6" s="1"/>
  <c r="Q8"/>
  <c r="AK5"/>
  <c r="AL5" s="1"/>
  <c r="AM5" s="1"/>
  <c r="AN8"/>
  <c r="AZ8"/>
  <c r="BA8" s="1"/>
  <c r="BF8" s="1"/>
  <c r="BK8" s="1"/>
  <c r="BE5"/>
  <c r="BJ5"/>
  <c r="AK6"/>
  <c r="AL6" s="1"/>
  <c r="AS4" l="1"/>
  <c r="AP8"/>
  <c r="AQ8"/>
  <c r="AR8"/>
  <c r="AM6"/>
  <c r="AN6" s="1"/>
  <c r="BJ4"/>
  <c r="BE4"/>
  <c r="AK3"/>
  <c r="BJ8"/>
  <c r="BE8"/>
  <c r="AZ6"/>
  <c r="BC3"/>
  <c r="BH3" s="1"/>
  <c r="BM3" s="1"/>
  <c r="AY3"/>
  <c r="AH3"/>
  <c r="AI3" s="1"/>
  <c r="AT3" s="1"/>
  <c r="BA4"/>
  <c r="BF4" s="1"/>
  <c r="BK4" s="1"/>
  <c r="BE7"/>
  <c r="BJ7"/>
  <c r="AN5"/>
  <c r="AQ6" l="1"/>
  <c r="AR6"/>
  <c r="AP6"/>
  <c r="BE6"/>
  <c r="BJ6"/>
  <c r="AS8"/>
  <c r="BB4"/>
  <c r="BG4" s="1"/>
  <c r="BL4" s="1"/>
  <c r="AZ3"/>
  <c r="BA3"/>
  <c r="BF3" s="1"/>
  <c r="BK3" s="1"/>
  <c r="AR5"/>
  <c r="AP5"/>
  <c r="AQ5"/>
  <c r="BA6"/>
  <c r="BF6" s="1"/>
  <c r="BK6" s="1"/>
  <c r="AL3"/>
  <c r="AM3" l="1"/>
  <c r="AN3" s="1"/>
  <c r="AS6"/>
  <c r="BE3"/>
  <c r="BJ3"/>
  <c r="BB3"/>
  <c r="BG3" s="1"/>
  <c r="BL3" s="1"/>
  <c r="AS5"/>
  <c r="AP3" l="1"/>
  <c r="AQ3"/>
  <c r="AR3"/>
  <c r="AS3" l="1"/>
</calcChain>
</file>

<file path=xl/sharedStrings.xml><?xml version="1.0" encoding="utf-8"?>
<sst xmlns="http://schemas.openxmlformats.org/spreadsheetml/2006/main" count="96" uniqueCount="72">
  <si>
    <t>$DESCRIPTION</t>
  </si>
  <si>
    <t>$COLOR</t>
  </si>
  <si>
    <t>$DISPLAYSTATE</t>
  </si>
  <si>
    <t>$VALUE@Body Length@Equations</t>
  </si>
  <si>
    <t>$VALUE@Body Diameter Ends@Equations</t>
  </si>
  <si>
    <t>$VALUE@Body Diameter@Equations</t>
  </si>
  <si>
    <t>$VALUE@Body Inner Slope@Equations</t>
  </si>
  <si>
    <t>$PARTNUMBER</t>
  </si>
  <si>
    <t>$C</t>
  </si>
  <si>
    <t>Tolerance</t>
  </si>
  <si>
    <t>$VALUE@Body Length Middle@Equations</t>
  </si>
  <si>
    <t>$VALUE@Colour Band Width@Equations</t>
  </si>
  <si>
    <t>$VALUE@Wire Bend Radius@Equations</t>
  </si>
  <si>
    <t>$VALUE@Wire Diameter@Equations</t>
  </si>
  <si>
    <t>$VALUE@Wire Spacing@Equations</t>
  </si>
  <si>
    <t>Value</t>
  </si>
  <si>
    <t>L</t>
  </si>
  <si>
    <t>Number of Signifanct Figures</t>
  </si>
  <si>
    <t>Multiplier</t>
  </si>
  <si>
    <t>Band1</t>
  </si>
  <si>
    <t>Band2</t>
  </si>
  <si>
    <t>Band3</t>
  </si>
  <si>
    <t>Band4</t>
  </si>
  <si>
    <t>Band5</t>
  </si>
  <si>
    <t>Tolerance%</t>
  </si>
  <si>
    <t>Casing</t>
  </si>
  <si>
    <t>Body Length</t>
  </si>
  <si>
    <t>Body Diameter</t>
  </si>
  <si>
    <t>Body Inner Slope</t>
  </si>
  <si>
    <t>Body Length Middle</t>
  </si>
  <si>
    <t>Colour Band Width</t>
  </si>
  <si>
    <t>Wire Bend Radius</t>
  </si>
  <si>
    <t>Wire Diameter</t>
  </si>
  <si>
    <t>Wire Spacing</t>
  </si>
  <si>
    <t>Body Diameter Ends</t>
  </si>
  <si>
    <t>Wire Spacing (mils)</t>
  </si>
  <si>
    <t>Series</t>
  </si>
  <si>
    <t>E24</t>
  </si>
  <si>
    <t>Abbr. Value</t>
  </si>
  <si>
    <t>Format</t>
  </si>
  <si>
    <t>ColourVal1</t>
  </si>
  <si>
    <t>ColourVal2</t>
  </si>
  <si>
    <t>ColourVal3</t>
  </si>
  <si>
    <t>ColourMultiplier</t>
  </si>
  <si>
    <t>ColourTolerance</t>
  </si>
  <si>
    <t>Decimal</t>
  </si>
  <si>
    <t>Significand</t>
  </si>
  <si>
    <t>Mantissa1</t>
  </si>
  <si>
    <t>Mantissa2</t>
  </si>
  <si>
    <t>Mantissa3</t>
  </si>
  <si>
    <t>Short Value</t>
  </si>
  <si>
    <t>Mult</t>
  </si>
  <si>
    <t>Decade</t>
  </si>
  <si>
    <t>Series Element</t>
  </si>
  <si>
    <t>Approx Power Rating</t>
  </si>
  <si>
    <t>$VALUE@First Band Offset@Equations</t>
  </si>
  <si>
    <t>$VALUE@Last Band Offset@Equations</t>
  </si>
  <si>
    <t>#Bands</t>
  </si>
  <si>
    <t>First Band Offset</t>
  </si>
  <si>
    <t>Last Band Offset</t>
  </si>
  <si>
    <t>Design Table for: Resistor</t>
  </si>
  <si>
    <t>Metal</t>
  </si>
  <si>
    <t>=0.4*(("Body Diameter Ends"-"Wire Diameter")/2-"Paint Thickness")</t>
  </si>
  <si>
    <t>=0.3*(("Body Diameter Ends"-"Wire Diameter")/2-"Paint Thickness")</t>
  </si>
  <si>
    <t>Paint Thickness</t>
  </si>
  <si>
    <t>HS Flat End Width</t>
  </si>
  <si>
    <t>First Band Offset  (mm)</t>
  </si>
  <si>
    <t>Max End Fillet Radius (H)</t>
  </si>
  <si>
    <t>Max End Fillet Radius (V)</t>
  </si>
  <si>
    <t>$VALUE@End Fillet Radius@Equations</t>
  </si>
  <si>
    <t>$VALUE@Paint Thickness@Equations</t>
  </si>
  <si>
    <t>Design Table for: RES2</t>
  </si>
</sst>
</file>

<file path=xl/styles.xml><?xml version="1.0" encoding="utf-8"?>
<styleSheet xmlns="http://schemas.openxmlformats.org/spreadsheetml/2006/main">
  <numFmts count="6">
    <numFmt numFmtId="43" formatCode="_-* #,##0.00_-;\-* #,##0.00_-;_-* &quot;-&quot;??_-;_-@_-"/>
    <numFmt numFmtId="164" formatCode="#,##0.00&quot; Ω&quot;"/>
    <numFmt numFmtId="165" formatCode="0.000&quot; W&quot;"/>
    <numFmt numFmtId="166" formatCode="#&quot; mils&quot;"/>
    <numFmt numFmtId="167" formatCode="0.0%"/>
    <numFmt numFmtId="168" formatCode="#,##0.##&quot; Ω&quot;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4">
    <xf numFmtId="0" fontId="0" fillId="0" borderId="0" xfId="0"/>
    <xf numFmtId="49" fontId="0" fillId="0" borderId="0" xfId="0" applyNumberFormat="1"/>
    <xf numFmtId="0" fontId="0" fillId="0" borderId="0" xfId="0" applyNumberFormat="1"/>
    <xf numFmtId="49" fontId="0" fillId="0" borderId="0" xfId="0" applyNumberFormat="1" applyAlignment="1">
      <alignment textRotation="90"/>
    </xf>
    <xf numFmtId="0" fontId="0" fillId="0" borderId="0" xfId="0" applyNumberFormat="1" applyAlignment="1">
      <alignment textRotation="90"/>
    </xf>
    <xf numFmtId="0" fontId="0" fillId="0" borderId="0" xfId="0" applyAlignment="1">
      <alignment textRotation="90"/>
    </xf>
    <xf numFmtId="164" fontId="0" fillId="0" borderId="0" xfId="0" applyNumberFormat="1" applyFill="1"/>
    <xf numFmtId="3" fontId="0" fillId="0" borderId="0" xfId="0" applyNumberFormat="1"/>
    <xf numFmtId="0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textRotation="90"/>
    </xf>
    <xf numFmtId="165" fontId="0" fillId="0" borderId="0" xfId="0" applyNumberFormat="1"/>
    <xf numFmtId="10" fontId="0" fillId="0" borderId="0" xfId="0" applyNumberFormat="1"/>
    <xf numFmtId="0" fontId="0" fillId="0" borderId="0" xfId="1" applyNumberFormat="1" applyFont="1" applyFill="1"/>
    <xf numFmtId="166" fontId="0" fillId="0" borderId="0" xfId="0" applyNumberFormat="1"/>
    <xf numFmtId="0" fontId="0" fillId="0" borderId="0" xfId="0" applyFill="1"/>
    <xf numFmtId="167" fontId="0" fillId="0" borderId="0" xfId="0" applyNumberFormat="1"/>
    <xf numFmtId="168" fontId="0" fillId="0" borderId="0" xfId="0" applyNumberFormat="1" applyFill="1"/>
    <xf numFmtId="0" fontId="0" fillId="0" borderId="0" xfId="0" quotePrefix="1" applyNumberFormat="1" applyAlignment="1">
      <alignment horizontal="center" vertical="top"/>
    </xf>
    <xf numFmtId="0" fontId="0" fillId="0" borderId="0" xfId="0" quotePrefix="1"/>
    <xf numFmtId="2" fontId="0" fillId="0" borderId="0" xfId="0" quotePrefix="1" applyNumberFormat="1" applyAlignment="1">
      <alignment horizontal="center" vertical="top"/>
    </xf>
    <xf numFmtId="2" fontId="0" fillId="0" borderId="0" xfId="0" applyNumberFormat="1"/>
    <xf numFmtId="0" fontId="0" fillId="0" borderId="0" xfId="1" quotePrefix="1" applyNumberFormat="1" applyFont="1" applyFill="1"/>
    <xf numFmtId="2" fontId="0" fillId="0" borderId="0" xfId="1" quotePrefix="1" applyNumberFormat="1" applyFont="1" applyFill="1"/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T29"/>
  <sheetViews>
    <sheetView tabSelected="1" zoomScale="96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BS10" sqref="BS10"/>
    </sheetView>
  </sheetViews>
  <sheetFormatPr defaultRowHeight="15"/>
  <cols>
    <col min="1" max="1" width="20.7109375" style="1" bestFit="1" customWidth="1"/>
    <col min="2" max="2" width="17.28515625" style="2" bestFit="1" customWidth="1"/>
    <col min="3" max="3" width="8.140625" style="2" customWidth="1"/>
    <col min="4" max="4" width="7.28515625" style="2" bestFit="1" customWidth="1"/>
    <col min="5" max="5" width="8.42578125" style="2" bestFit="1" customWidth="1"/>
    <col min="6" max="6" width="8" style="2" customWidth="1"/>
    <col min="7" max="7" width="9" style="2" customWidth="1"/>
    <col min="8" max="8" width="6.7109375" style="2" customWidth="1"/>
    <col min="9" max="12" width="8" style="2" bestFit="1" customWidth="1"/>
    <col min="13" max="13" width="10" style="2" bestFit="1" customWidth="1"/>
    <col min="14" max="15" width="6.85546875" style="2" bestFit="1" customWidth="1"/>
    <col min="16" max="16" width="10.140625" style="2" bestFit="1" customWidth="1"/>
    <col min="17" max="17" width="9.140625" style="2" bestFit="1" customWidth="1"/>
    <col min="18" max="18" width="3.85546875" style="2" customWidth="1"/>
    <col min="19" max="19" width="10.140625" style="2" customWidth="1"/>
    <col min="20" max="21" width="6.28515625" style="2" bestFit="1" customWidth="1"/>
    <col min="22" max="22" width="4.140625" style="2" bestFit="1" customWidth="1"/>
    <col min="23" max="23" width="6.28515625" style="2" bestFit="1" customWidth="1"/>
    <col min="24" max="26" width="7.140625" style="2" customWidth="1"/>
    <col min="27" max="27" width="4.7109375" style="2" bestFit="1" customWidth="1"/>
    <col min="28" max="28" width="7.140625" style="2" customWidth="1"/>
    <col min="29" max="29" width="4.140625" style="2" bestFit="1" customWidth="1"/>
    <col min="30" max="30" width="3.140625" style="2" bestFit="1" customWidth="1"/>
    <col min="31" max="31" width="8.140625" style="2" bestFit="1" customWidth="1"/>
    <col min="32" max="32" width="11.5703125" bestFit="1" customWidth="1"/>
    <col min="33" max="33" width="6.28515625" bestFit="1" customWidth="1"/>
    <col min="34" max="34" width="5.7109375" hidden="1" customWidth="1"/>
    <col min="35" max="35" width="3.85546875" hidden="1" customWidth="1"/>
    <col min="36" max="36" width="2.140625" hidden="1" customWidth="1"/>
    <col min="37" max="41" width="3.85546875" hidden="1" customWidth="1"/>
    <col min="42" max="42" width="2.140625" hidden="1" customWidth="1"/>
    <col min="43" max="44" width="2" hidden="1" customWidth="1"/>
    <col min="45" max="45" width="4.28515625" bestFit="1" customWidth="1"/>
    <col min="46" max="46" width="6.7109375" bestFit="1" customWidth="1"/>
    <col min="47" max="47" width="4.140625" bestFit="1" customWidth="1"/>
    <col min="48" max="48" width="3.85546875" bestFit="1" customWidth="1"/>
    <col min="49" max="49" width="3.85546875" hidden="1" customWidth="1"/>
    <col min="50" max="50" width="3.85546875" customWidth="1"/>
    <col min="51" max="51" width="10" hidden="1" customWidth="1"/>
    <col min="52" max="61" width="3.85546875" style="2" hidden="1" customWidth="1"/>
    <col min="62" max="66" width="3.85546875" style="9" bestFit="1" customWidth="1"/>
  </cols>
  <sheetData>
    <row r="1" spans="1:66">
      <c r="A1" s="1" t="s">
        <v>71</v>
      </c>
    </row>
    <row r="2" spans="1:66" s="5" customFormat="1" ht="204">
      <c r="A2" s="3"/>
      <c r="B2" s="4" t="s">
        <v>0</v>
      </c>
      <c r="C2" s="4" t="s">
        <v>1</v>
      </c>
      <c r="D2" s="4" t="s">
        <v>2</v>
      </c>
      <c r="E2" s="4" t="s">
        <v>3</v>
      </c>
      <c r="F2" s="4" t="s">
        <v>4</v>
      </c>
      <c r="G2" s="4" t="s">
        <v>5</v>
      </c>
      <c r="H2" s="4" t="s">
        <v>6</v>
      </c>
      <c r="I2" s="4" t="s">
        <v>10</v>
      </c>
      <c r="J2" s="4" t="s">
        <v>11</v>
      </c>
      <c r="K2" s="4" t="s">
        <v>12</v>
      </c>
      <c r="L2" s="4" t="s">
        <v>13</v>
      </c>
      <c r="M2" s="4" t="s">
        <v>14</v>
      </c>
      <c r="N2" s="4" t="s">
        <v>55</v>
      </c>
      <c r="O2" s="4" t="s">
        <v>56</v>
      </c>
      <c r="P2" s="4" t="s">
        <v>70</v>
      </c>
      <c r="Q2" s="4" t="s">
        <v>69</v>
      </c>
      <c r="R2" s="4" t="s">
        <v>7</v>
      </c>
      <c r="S2" s="4"/>
      <c r="T2" s="4" t="s">
        <v>58</v>
      </c>
      <c r="U2" s="4" t="s">
        <v>59</v>
      </c>
      <c r="V2" s="4" t="s">
        <v>26</v>
      </c>
      <c r="W2" s="4" t="s">
        <v>29</v>
      </c>
      <c r="X2" s="4" t="s">
        <v>65</v>
      </c>
      <c r="Y2" s="4" t="s">
        <v>30</v>
      </c>
      <c r="Z2" s="4" t="s">
        <v>68</v>
      </c>
      <c r="AA2" s="4" t="s">
        <v>66</v>
      </c>
      <c r="AB2" s="4" t="s">
        <v>67</v>
      </c>
      <c r="AC2" s="4" t="s">
        <v>36</v>
      </c>
      <c r="AD2" s="4" t="s">
        <v>53</v>
      </c>
      <c r="AE2" s="4" t="s">
        <v>52</v>
      </c>
      <c r="AF2" s="5" t="s">
        <v>15</v>
      </c>
      <c r="AG2" s="5" t="s">
        <v>24</v>
      </c>
      <c r="AH2" s="5" t="s">
        <v>45</v>
      </c>
      <c r="AI2" s="5" t="s">
        <v>39</v>
      </c>
      <c r="AK2" s="5" t="s">
        <v>46</v>
      </c>
      <c r="AL2" s="5" t="s">
        <v>47</v>
      </c>
      <c r="AM2" s="5" t="s">
        <v>48</v>
      </c>
      <c r="AN2" s="5" t="s">
        <v>49</v>
      </c>
      <c r="AO2" s="5" t="s">
        <v>51</v>
      </c>
      <c r="AS2" s="5" t="s">
        <v>50</v>
      </c>
      <c r="AT2" s="5" t="s">
        <v>38</v>
      </c>
      <c r="AU2" s="5" t="s">
        <v>35</v>
      </c>
      <c r="AV2" s="5" t="s">
        <v>25</v>
      </c>
      <c r="AW2" s="5" t="s">
        <v>16</v>
      </c>
      <c r="AX2" s="5" t="s">
        <v>17</v>
      </c>
      <c r="AZ2" s="4">
        <v>1000</v>
      </c>
      <c r="BA2" s="4">
        <v>100</v>
      </c>
      <c r="BB2" s="4">
        <v>10</v>
      </c>
      <c r="BC2" s="4" t="s">
        <v>18</v>
      </c>
      <c r="BD2" s="4" t="s">
        <v>9</v>
      </c>
      <c r="BE2" s="4" t="s">
        <v>40</v>
      </c>
      <c r="BF2" s="4" t="s">
        <v>41</v>
      </c>
      <c r="BG2" s="4" t="s">
        <v>42</v>
      </c>
      <c r="BH2" s="4" t="s">
        <v>43</v>
      </c>
      <c r="BI2" s="4" t="s">
        <v>44</v>
      </c>
      <c r="BJ2" s="10" t="s">
        <v>19</v>
      </c>
      <c r="BK2" s="10" t="s">
        <v>20</v>
      </c>
      <c r="BL2" s="10" t="s">
        <v>21</v>
      </c>
      <c r="BM2" s="10" t="s">
        <v>22</v>
      </c>
      <c r="BN2" s="10" t="s">
        <v>23</v>
      </c>
    </row>
    <row r="3" spans="1:66">
      <c r="A3" s="2" t="str">
        <f xml:space="preserve"> "AXIAL-" &amp; TEXT($AU3/1000,"0.0")</f>
        <v>AXIAL-0.2</v>
      </c>
      <c r="B3" t="str">
        <f>"Resistor AXIAL-"&amp;TEXT($AU3/1000,"0.0")</f>
        <v>Resistor AXIAL-0.2</v>
      </c>
      <c r="C3" s="2">
        <v>5000268</v>
      </c>
      <c r="D3" s="2" t="s">
        <v>61</v>
      </c>
      <c r="E3" s="2" t="str">
        <f>"="&amp;VLOOKUP($AV3,Sheet2!$B$2:$Q$9,MATCH(MID(E$2,8,LEN(E$2)-17),Sheet2!$B$1:$Q$1,0))&amp;"mm"</f>
        <v>=3.5mm</v>
      </c>
      <c r="F3" s="2" t="str">
        <f>"="&amp;VLOOKUP($AV3,Sheet2!$B$2:$Q$9,MATCH(MID(F$2,8,LEN(F$2)-17),Sheet2!$B$1:$Q$1,0))&amp;"mm"</f>
        <v>=1.85mm</v>
      </c>
      <c r="G3" s="2" t="str">
        <f>"="&amp;VLOOKUP($AV3,Sheet2!$B$2:$Q$9,MATCH(MID(G$2,8,LEN(G$2)-17),Sheet2!$B$1:$Q$1,0))&amp;"mm"</f>
        <v>=1.57mm</v>
      </c>
      <c r="H3" s="2" t="str">
        <f>"="&amp;VLOOKUP($AV3,Sheet2!$B$2:$Q$9,MATCH(MID(H$2,8,LEN(H$2)-17),Sheet2!$B$1:$Q$1,0))&amp;"mm"</f>
        <v>=0.5mm</v>
      </c>
      <c r="I3" s="2" t="str">
        <f>"="&amp;VLOOKUP($AV3,Sheet2!$B$2:$Q$9,MATCH(MID(I$2,8,LEN(I$2)-17),Sheet2!$B$1:$Q$1,0))&amp;"mm"</f>
        <v>=1.39mm</v>
      </c>
      <c r="J3" s="2" t="str">
        <f>"="&amp;VLOOKUP($AV3,Sheet2!$B$2:$Q$9,MATCH(MID(J$2,8,LEN(J$2)-17),Sheet2!$B$1:$Q$1,0))&amp;"mm"</f>
        <v>=0.21mm</v>
      </c>
      <c r="K3" s="2" t="str">
        <f>"="&amp;VLOOKUP($AV3,Sheet2!$B$2:$Q$9,MATCH(MID(K$2,8,LEN(K$2)-17),Sheet2!$B$1:$Q$1,0))&amp;"mm"</f>
        <v>=0.6mm</v>
      </c>
      <c r="L3" s="2" t="str">
        <f>"="&amp;VLOOKUP($AV3,Sheet2!$B$2:$Q$9,MATCH(MID(L$2,8,LEN(L$2)-17),Sheet2!$B$1:$Q$1,0))&amp;"mm"</f>
        <v>=0.45mm</v>
      </c>
      <c r="M3" s="2" t="str">
        <f>"="&amp;VLOOKUP($AV3,Sheet2!$B$2:$Q$9,MATCH(MID(M$2,8,LEN(M$2)-17),Sheet2!$B$1:$Q$1,0))&amp;"mm"</f>
        <v>=5.08mm</v>
      </c>
      <c r="N3" s="2" t="str">
        <f>"="&amp;VLOOKUP($AX3+2,Sheet2!$U$1:$X$4,MATCH(MID(N$2,8,LEN(N$2)-17),Sheet2!$U$1:$X$1,0))</f>
        <v>=0.22</v>
      </c>
      <c r="O3" s="2" t="str">
        <f>"="&amp;VLOOKUP($AX3+2,Sheet2!$U$1:$X$4,MATCH(MID(O$2,8,LEN(O$2)-17),Sheet2!$U$1:$X$1,0))</f>
        <v>=0.275</v>
      </c>
      <c r="P3" s="2" t="str">
        <f>"="&amp;VLOOKUP($AV3,Sheet2!$B$2:$Q$9,MATCH(MID(P$2,8,LEN(P$2)-17),Sheet2!$B$1:$Q$1,0))&amp;"mm"</f>
        <v>=0.04mm</v>
      </c>
      <c r="Q3" s="23" t="str">
        <f>"="&amp;ROUNDDOWN(MIN($Z3,$AB3),2)&amp;"mm"</f>
        <v>=0.33mm</v>
      </c>
      <c r="R3" s="2" t="s">
        <v>8</v>
      </c>
      <c r="S3" s="22"/>
      <c r="T3" s="2">
        <f>VLOOKUP($AX3+2,Sheet2!$U$1:$X$4,MATCH(T$2,Sheet2!$U$1:$X$1,0))</f>
        <v>0.22</v>
      </c>
      <c r="U3" s="2">
        <f>VLOOKUP($AX3+2,Sheet2!$U$1:$X$4,MATCH(U$2,Sheet2!$U$1:$X$1,0))</f>
        <v>0.27500000000000002</v>
      </c>
      <c r="V3" s="2">
        <f>VLOOKUP($AV3,Sheet2!$B$2:$Q$9,MATCH(V$2,Sheet2!$B$1:$Q$1,0))</f>
        <v>3.5</v>
      </c>
      <c r="W3" s="2">
        <f>VLOOKUP($AV3,Sheet2!$B$2:$Q$9,MATCH(W$2,Sheet2!$B$1:$Q$1,0))</f>
        <v>1.39</v>
      </c>
      <c r="X3" s="2">
        <f>VLOOKUP($AV3,Sheet2!$B$2:$Q$9,MATCH(X$2,Sheet2!$B$1:$Q$1,0))</f>
        <v>0.91500000000000015</v>
      </c>
      <c r="Y3" s="2">
        <f>VLOOKUP($AV3,Sheet2!$B$2:$Q$9,MATCH(Y$2,Sheet2!$B$1:$Q$1,0))</f>
        <v>0.21</v>
      </c>
      <c r="Z3" s="2">
        <f>VLOOKUP($AV3,Sheet2!$B$2:$Q$9,MATCH(Z$2,Sheet2!$B$1:$Q$1,0))</f>
        <v>0.33</v>
      </c>
      <c r="AA3" s="20">
        <f>$T3*($V3-$W3)/2</f>
        <v>0.23210000000000003</v>
      </c>
      <c r="AB3" s="21">
        <f>$X3-$Y3-$AA3</f>
        <v>0.47290000000000015</v>
      </c>
      <c r="AC3" s="2" t="s">
        <v>37</v>
      </c>
      <c r="AD3">
        <v>10</v>
      </c>
      <c r="AE3">
        <f>IF(AND($AC3=$AC2,$AV2=$AV3),IF($AD3=10,$AE2*10,$AE2),0.1)</f>
        <v>0.1</v>
      </c>
      <c r="AF3" s="17">
        <f>AD3*AE3</f>
        <v>1</v>
      </c>
      <c r="AG3" s="12">
        <v>0.01</v>
      </c>
      <c r="AH3" s="6" t="b">
        <f t="shared" ref="AH3:AH8" si="0">$AW3/3=INT($AW3/3)</f>
        <v>1</v>
      </c>
      <c r="AI3" s="13" t="str">
        <f t="shared" ref="AI3:AI8" si="1">IF($AH3,"0.0","GENERAL")</f>
        <v>0.0</v>
      </c>
      <c r="AJ3" s="13">
        <f t="shared" ref="AJ3:AJ8" si="2">IF(AF3&lt;1000,1,IF(AF3&lt;1000000,1000,1000000))</f>
        <v>1</v>
      </c>
      <c r="AK3" s="13">
        <f t="shared" ref="AK3:AK8" si="3">INT($AF3/$AJ3)</f>
        <v>1</v>
      </c>
      <c r="AL3" s="13">
        <f t="shared" ref="AL3:AL8" si="4">INT(10*$AF3/$AJ3-10*$AK3)</f>
        <v>0</v>
      </c>
      <c r="AM3" s="13">
        <f t="shared" ref="AM3:AM8" si="5">INT(100*$AF3/$AJ3-100*$AK3-10*$AL3)</f>
        <v>0</v>
      </c>
      <c r="AN3" s="13">
        <f t="shared" ref="AN3:AN8" si="6">INT(1000*$AF3/$AJ3-1000*$AK3-100*$AL3-10*$AM3)</f>
        <v>0</v>
      </c>
      <c r="AO3" s="13" t="str">
        <f t="shared" ref="AO3:AO8" si="7">CHOOSE(1+LOG($AJ3)/3,"R","K","M")</f>
        <v>R</v>
      </c>
      <c r="AP3" s="13" t="str">
        <f t="shared" ref="AP3:AP8" si="8">IF(AND($AN3=0,$AM3=0,$AL3=0),"",$AL3)</f>
        <v/>
      </c>
      <c r="AQ3" s="13" t="str">
        <f t="shared" ref="AQ3:AQ8" si="9">IF(AND($AN3=0,$AM3=0),"",$AM3)</f>
        <v/>
      </c>
      <c r="AR3" s="13" t="str">
        <f t="shared" ref="AR3:AR8" si="10">IF($AN3=0,"",$AN3)</f>
        <v/>
      </c>
      <c r="AS3" s="6" t="str">
        <f t="shared" ref="AS3:AS8" si="11">$AK3&amp;$AO3&amp;$AP3&amp;$AQ3&amp;$AR3</f>
        <v>1R</v>
      </c>
      <c r="AT3" s="6" t="str">
        <f t="shared" ref="AT3:AT8" si="12">IF($AF3&lt;1000,TEXT($AF3,$AI3)&amp;"R",IF($AF3&lt;1000000,TEXT($AF3/1000,$AI3)&amp;"K",TEXT($AF3/1000000,$AI3)&amp;"M"))</f>
        <v>1.0R</v>
      </c>
      <c r="AU3" s="2">
        <v>200</v>
      </c>
      <c r="AV3" s="2">
        <f>VLOOKUP($AU3,Sheet2!$A$2:$B$15,2,0)</f>
        <v>1</v>
      </c>
      <c r="AW3" s="2">
        <f t="shared" ref="AW3:AW5" si="13">INT(LOG($AF3,10))</f>
        <v>0</v>
      </c>
      <c r="AX3" s="2">
        <f t="shared" ref="AX3:AX8" si="14">IF($AG3&lt;5%,3,2)</f>
        <v>3</v>
      </c>
      <c r="AY3" s="7">
        <f t="shared" ref="AY3:AY8" si="15">10^$AW3</f>
        <v>1</v>
      </c>
      <c r="AZ3" s="2">
        <f t="shared" ref="AZ3:AZ8" si="16">IF(3-LOG(AZ$2)&lt;$AX3,IF(1+$AX3-LOG(AZ$2)&gt;$AX3,"",INT($AF3/$AY3)),"")</f>
        <v>1</v>
      </c>
      <c r="BA3" s="2">
        <f t="shared" ref="BA3:BA8" si="17">IF(3-LOG(BA$2)&lt;$AX3,IF(1+$AX3-LOG(BA$2)&gt;$AX3,"",INT(10*$AF3/$AY3-10*$AZ3)),"")</f>
        <v>0</v>
      </c>
      <c r="BB3" s="2">
        <f t="shared" ref="BB3:BB8" si="18">IF(3-LOG(BB$2)&lt;$AX3,IF(1+$AX3-LOG(BB$2)&gt;$AX3,"",INT(100*$AF3-(100*$AZ3*$AY3+10*$BA3*$AY3))/$AY3),"")</f>
        <v>0</v>
      </c>
      <c r="BC3" s="2">
        <f t="shared" ref="BC3:BC8" si="19">1+$AW3-$AX3</f>
        <v>-2</v>
      </c>
      <c r="BD3" s="2">
        <f t="shared" ref="BD3:BD8" si="20">100*AG3</f>
        <v>1</v>
      </c>
      <c r="BE3" s="8" t="str">
        <f t="shared" ref="BE3:BE8" si="21">IF($AZ3="","",CHOOSE(3+$AZ3,"SR","GD","BK","BN","RD","OR","YL","GN","BL","VT","GY","WT"))</f>
        <v>BN</v>
      </c>
      <c r="BF3" s="8" t="str">
        <f t="shared" ref="BF3:BF8" si="22">IF($BA3="","",CHOOSE(3+$BA3,"SR","GD","BK","BN","RD","OR","YL","GN","BL","VT","GY","WT"))</f>
        <v>BK</v>
      </c>
      <c r="BG3" s="8" t="str">
        <f t="shared" ref="BG3:BG8" si="23">IF($BB3="","",CHOOSE(3+$BB3,"SR","GD","BK","BN","RD","OR","YL","GN","BL","VT","GY","WT"))</f>
        <v>BK</v>
      </c>
      <c r="BH3" s="8" t="str">
        <f t="shared" ref="BH3:BH8" si="24">IF($BC3="","",CHOOSE(3+$BC3,"SR","GD","BK","BN","RD","OR","YL","GN","BL","VT","GY","WT"))</f>
        <v>SR</v>
      </c>
      <c r="BI3" s="8" t="str">
        <f t="shared" ref="BI3:BI8" si="25">IF($BD3="","",IF($BD3&lt;1,CHOOSE(20*$BD3,"GY","VT",,,"BL",,,,,"GN"),CHOOSE($BD3,"BN","RD",,,"GD",,,,,"SR",,,,,,,,,,"")))</f>
        <v>BN</v>
      </c>
      <c r="BJ3" s="8" t="str">
        <f t="shared" ref="BJ3" si="26">IF(AZ3="","",CHOOSE(3+AZ3,"SR","GD","BK","BN","RD","OR","YL","GN","BL","VT","GY","WT"))</f>
        <v>BN</v>
      </c>
      <c r="BK3" s="8" t="str">
        <f t="shared" ref="BK3:BK8" si="27">IF($AX3&lt;2,$BH3,BF3)</f>
        <v>BK</v>
      </c>
      <c r="BL3" s="8" t="str">
        <f t="shared" ref="BL3:BL8" si="28">IF($AX3&lt;2,"",IF($AX3&lt;3,$BH3,BG3))</f>
        <v>BK</v>
      </c>
      <c r="BM3" s="8" t="str">
        <f t="shared" ref="BM3:BM8" si="29">IF($AX3&lt;3,"",BH3)</f>
        <v>SR</v>
      </c>
      <c r="BN3" s="8" t="str">
        <f>BI3</f>
        <v>BN</v>
      </c>
    </row>
    <row r="4" spans="1:66">
      <c r="A4" s="2" t="str">
        <f xml:space="preserve"> "AXIAL-" &amp; TEXT($AU4/1000,"0.0")</f>
        <v>AXIAL-0.3</v>
      </c>
      <c r="B4" t="str">
        <f t="shared" ref="B4:B8" si="30">"Resistor AXIAL-"&amp;TEXT($AU4/1000,"0.0")</f>
        <v>Resistor AXIAL-0.3</v>
      </c>
      <c r="C4" s="2">
        <v>5000268</v>
      </c>
      <c r="D4" s="2" t="s">
        <v>61</v>
      </c>
      <c r="E4" s="2" t="str">
        <f>"="&amp;VLOOKUP($AV4,Sheet2!$B$2:$Q$9,MATCH(MID(E$2,8,LEN(E$2)-17),Sheet2!$B$1:$Q$1,0))&amp;"mm"</f>
        <v>=3.5mm</v>
      </c>
      <c r="F4" s="2" t="str">
        <f>"="&amp;VLOOKUP($AV4,Sheet2!$B$2:$Q$9,MATCH(MID(F$2,8,LEN(F$2)-17),Sheet2!$B$1:$Q$1,0))&amp;"mm"</f>
        <v>=1.85mm</v>
      </c>
      <c r="G4" s="2" t="str">
        <f>"="&amp;VLOOKUP($AV4,Sheet2!$B$2:$Q$9,MATCH(MID(G$2,8,LEN(G$2)-17),Sheet2!$B$1:$Q$1,0))&amp;"mm"</f>
        <v>=1.57mm</v>
      </c>
      <c r="H4" s="2" t="str">
        <f>"="&amp;VLOOKUP($AV4,Sheet2!$B$2:$Q$9,MATCH(MID(H$2,8,LEN(H$2)-17),Sheet2!$B$1:$Q$1,0))&amp;"mm"</f>
        <v>=0.5mm</v>
      </c>
      <c r="I4" s="2" t="str">
        <f>"="&amp;VLOOKUP($AV4,Sheet2!$B$2:$Q$9,MATCH(MID(I$2,8,LEN(I$2)-17),Sheet2!$B$1:$Q$1,0))&amp;"mm"</f>
        <v>=1.39mm</v>
      </c>
      <c r="J4" s="2" t="str">
        <f>"="&amp;VLOOKUP($AV4,Sheet2!$B$2:$Q$9,MATCH(MID(J$2,8,LEN(J$2)-17),Sheet2!$B$1:$Q$1,0))&amp;"mm"</f>
        <v>=0.21mm</v>
      </c>
      <c r="K4" s="2" t="str">
        <f>"="&amp;VLOOKUP($AV4,Sheet2!$B$2:$Q$9,MATCH(MID(K$2,8,LEN(K$2)-17),Sheet2!$B$1:$Q$1,0))&amp;"mm"</f>
        <v>=0.6mm</v>
      </c>
      <c r="L4" s="2" t="str">
        <f>"="&amp;VLOOKUP($AV4,Sheet2!$B$2:$Q$9,MATCH(MID(L$2,8,LEN(L$2)-17),Sheet2!$B$1:$Q$1,0))&amp;"mm"</f>
        <v>=0.45mm</v>
      </c>
      <c r="M4" s="2" t="str">
        <f>"="&amp;VLOOKUP($AV4,Sheet2!$B$2:$Q$9,MATCH(MID(M$2,8,LEN(M$2)-17),Sheet2!$B$1:$Q$1,0))&amp;"mm"</f>
        <v>=7.62mm</v>
      </c>
      <c r="N4" s="2" t="str">
        <f>"="&amp;VLOOKUP($AX4+2,Sheet2!$U$1:$X$4,MATCH(MID(N$2,8,LEN(N$2)-17),Sheet2!$U$1:$X$1,0))</f>
        <v>=0.22</v>
      </c>
      <c r="O4" s="2" t="str">
        <f>"="&amp;VLOOKUP($AX4+2,Sheet2!$U$1:$X$4,MATCH(MID(O$2,8,LEN(O$2)-17),Sheet2!$U$1:$X$1,0))</f>
        <v>=0.275</v>
      </c>
      <c r="P4" s="2" t="str">
        <f>"="&amp;VLOOKUP($AV4,Sheet2!$B$2:$Q$9,MATCH(MID(P$2,8,LEN(P$2)-17),Sheet2!$B$1:$Q$1,0))&amp;"mm"</f>
        <v>=0.04mm</v>
      </c>
      <c r="Q4" s="23" t="str">
        <f t="shared" ref="Q4:Q8" si="31">"="&amp;ROUNDDOWN(MIN($Z4,$AB4),2)&amp;"mm"</f>
        <v>=0.33mm</v>
      </c>
      <c r="R4" s="2" t="s">
        <v>8</v>
      </c>
      <c r="S4" s="22"/>
      <c r="T4" s="2">
        <f>VLOOKUP($AX4+2,Sheet2!$U$1:$X$4,MATCH(T$2,Sheet2!$U$1:$X$1,0))</f>
        <v>0.22</v>
      </c>
      <c r="U4" s="2">
        <f>VLOOKUP($AX4+2,Sheet2!$U$1:$X$4,MATCH(U$2,Sheet2!$U$1:$X$1,0))</f>
        <v>0.27500000000000002</v>
      </c>
      <c r="V4" s="2">
        <f>VLOOKUP($AV4,Sheet2!$B$2:$Q$9,MATCH(V$2,Sheet2!$B$1:$Q$1,0))</f>
        <v>3.5</v>
      </c>
      <c r="W4" s="2">
        <f>VLOOKUP($AV4,Sheet2!$B$2:$Q$9,MATCH(W$2,Sheet2!$B$1:$Q$1,0))</f>
        <v>1.39</v>
      </c>
      <c r="X4" s="2">
        <f>VLOOKUP($AV4,Sheet2!$B$2:$Q$9,MATCH(X$2,Sheet2!$B$1:$Q$1,0))</f>
        <v>0.91500000000000015</v>
      </c>
      <c r="Y4" s="2">
        <f>VLOOKUP($AV4,Sheet2!$B$2:$Q$9,MATCH(Y$2,Sheet2!$B$1:$Q$1,0))</f>
        <v>0.21</v>
      </c>
      <c r="Z4" s="2">
        <f>VLOOKUP($AV4,Sheet2!$B$2:$Q$9,MATCH(Z$2,Sheet2!$B$1:$Q$1,0))</f>
        <v>0.33</v>
      </c>
      <c r="AA4" s="20">
        <f t="shared" ref="AA4:AA8" si="32">$T4*($V4-$W4)/2</f>
        <v>0.23210000000000003</v>
      </c>
      <c r="AB4" s="21">
        <f t="shared" ref="AB4:AB8" si="33">$X4-$Y4-$AA4</f>
        <v>0.47290000000000015</v>
      </c>
      <c r="AC4" s="2" t="s">
        <v>37</v>
      </c>
      <c r="AD4">
        <v>15</v>
      </c>
      <c r="AE4">
        <v>10</v>
      </c>
      <c r="AF4" s="17">
        <f t="shared" ref="AF4:AF8" si="34">AD4*AE4</f>
        <v>150</v>
      </c>
      <c r="AG4" s="12">
        <v>0.01</v>
      </c>
      <c r="AH4" s="6" t="b">
        <f t="shared" si="0"/>
        <v>0</v>
      </c>
      <c r="AI4" s="13" t="str">
        <f t="shared" si="1"/>
        <v>GENERAL</v>
      </c>
      <c r="AJ4" s="13">
        <f t="shared" si="2"/>
        <v>1</v>
      </c>
      <c r="AK4" s="13">
        <f t="shared" si="3"/>
        <v>150</v>
      </c>
      <c r="AL4" s="13">
        <f t="shared" si="4"/>
        <v>0</v>
      </c>
      <c r="AM4" s="13">
        <f t="shared" si="5"/>
        <v>0</v>
      </c>
      <c r="AN4" s="13">
        <f t="shared" si="6"/>
        <v>0</v>
      </c>
      <c r="AO4" s="13" t="str">
        <f t="shared" si="7"/>
        <v>R</v>
      </c>
      <c r="AP4" s="13" t="str">
        <f t="shared" si="8"/>
        <v/>
      </c>
      <c r="AQ4" s="13" t="str">
        <f t="shared" si="9"/>
        <v/>
      </c>
      <c r="AR4" s="13" t="str">
        <f t="shared" si="10"/>
        <v/>
      </c>
      <c r="AS4" s="6" t="str">
        <f t="shared" si="11"/>
        <v>150R</v>
      </c>
      <c r="AT4" s="6" t="str">
        <f t="shared" si="12"/>
        <v>150R</v>
      </c>
      <c r="AU4" s="2">
        <v>300</v>
      </c>
      <c r="AV4" s="2">
        <f>VLOOKUP($AU4,Sheet2!$A$2:$B$15,2,0)</f>
        <v>2</v>
      </c>
      <c r="AW4" s="2">
        <f t="shared" si="13"/>
        <v>2</v>
      </c>
      <c r="AX4" s="2">
        <f t="shared" si="14"/>
        <v>3</v>
      </c>
      <c r="AY4" s="7">
        <f t="shared" si="15"/>
        <v>100</v>
      </c>
      <c r="AZ4" s="2">
        <f t="shared" si="16"/>
        <v>1</v>
      </c>
      <c r="BA4" s="2">
        <f t="shared" si="17"/>
        <v>5</v>
      </c>
      <c r="BB4" s="2">
        <f t="shared" si="18"/>
        <v>0</v>
      </c>
      <c r="BC4" s="2">
        <f t="shared" si="19"/>
        <v>0</v>
      </c>
      <c r="BD4" s="2">
        <f t="shared" si="20"/>
        <v>1</v>
      </c>
      <c r="BE4" s="8" t="str">
        <f t="shared" si="21"/>
        <v>BN</v>
      </c>
      <c r="BF4" s="8" t="str">
        <f t="shared" si="22"/>
        <v>GN</v>
      </c>
      <c r="BG4" s="8" t="str">
        <f t="shared" si="23"/>
        <v>BK</v>
      </c>
      <c r="BH4" s="8" t="str">
        <f t="shared" si="24"/>
        <v>BK</v>
      </c>
      <c r="BI4" s="8" t="str">
        <f t="shared" si="25"/>
        <v>BN</v>
      </c>
      <c r="BJ4" s="8" t="str">
        <f t="shared" ref="BJ4:BJ8" si="35">IF(AZ4="","",CHOOSE(3+AZ4,"SR","GD","BK","BN","RD","OR","YL","GN","BL","VT","GY","WT"))</f>
        <v>BN</v>
      </c>
      <c r="BK4" s="8" t="str">
        <f t="shared" si="27"/>
        <v>GN</v>
      </c>
      <c r="BL4" s="8" t="str">
        <f t="shared" si="28"/>
        <v>BK</v>
      </c>
      <c r="BM4" s="8" t="str">
        <f t="shared" si="29"/>
        <v>BK</v>
      </c>
      <c r="BN4" s="8" t="str">
        <f t="shared" ref="BN4" si="36">IF(BD4="","",IF(BD4&lt;1,CHOOSE(20*BD4,"GY","VT",,,"BL",,,,,"GN"),CHOOSE(BD4,"BN","RD",,,"GD",,,,,"SR",,,,,,,,,,"")))</f>
        <v>BN</v>
      </c>
    </row>
    <row r="5" spans="1:66">
      <c r="A5" s="2" t="str">
        <f xml:space="preserve"> "AXIAL-" &amp; TEXT($AU5/1000,"0.0")</f>
        <v>AXIAL-0.4</v>
      </c>
      <c r="B5" t="str">
        <f t="shared" si="30"/>
        <v>Resistor AXIAL-0.4</v>
      </c>
      <c r="C5" s="2">
        <v>5000268</v>
      </c>
      <c r="D5" s="2" t="s">
        <v>61</v>
      </c>
      <c r="E5" s="2" t="str">
        <f>"="&amp;VLOOKUP($AV5,Sheet2!$B$2:$Q$9,MATCH(MID(E$2,8,LEN(E$2)-17),Sheet2!$B$1:$Q$1,0))&amp;"mm"</f>
        <v>=6.8mm</v>
      </c>
      <c r="F5" s="2" t="str">
        <f>"="&amp;VLOOKUP($AV5,Sheet2!$B$2:$Q$9,MATCH(MID(F$2,8,LEN(F$2)-17),Sheet2!$B$1:$Q$1,0))&amp;"mm"</f>
        <v>=2.5mm</v>
      </c>
      <c r="G5" s="2" t="str">
        <f>"="&amp;VLOOKUP($AV5,Sheet2!$B$2:$Q$9,MATCH(MID(G$2,8,LEN(G$2)-17),Sheet2!$B$1:$Q$1,0))&amp;"mm"</f>
        <v>=2.13mm</v>
      </c>
      <c r="H5" s="2" t="str">
        <f>"="&amp;VLOOKUP($AV5,Sheet2!$B$2:$Q$9,MATCH(MID(H$2,8,LEN(H$2)-17),Sheet2!$B$1:$Q$1,0))&amp;"mm"</f>
        <v>=0.5mm</v>
      </c>
      <c r="I5" s="2" t="str">
        <f>"="&amp;VLOOKUP($AV5,Sheet2!$B$2:$Q$9,MATCH(MID(I$2,8,LEN(I$2)-17),Sheet2!$B$1:$Q$1,0))&amp;"mm"</f>
        <v>=2.7mm</v>
      </c>
      <c r="J5" s="2" t="str">
        <f>"="&amp;VLOOKUP($AV5,Sheet2!$B$2:$Q$9,MATCH(MID(J$2,8,LEN(J$2)-17),Sheet2!$B$1:$Q$1,0))&amp;"mm"</f>
        <v>=0.4mm</v>
      </c>
      <c r="K5" s="2" t="str">
        <f>"="&amp;VLOOKUP($AV5,Sheet2!$B$2:$Q$9,MATCH(MID(K$2,8,LEN(K$2)-17),Sheet2!$B$1:$Q$1,0))&amp;"mm"</f>
        <v>=0.8mm</v>
      </c>
      <c r="L5" s="2" t="str">
        <f>"="&amp;VLOOKUP($AV5,Sheet2!$B$2:$Q$9,MATCH(MID(L$2,8,LEN(L$2)-17),Sheet2!$B$1:$Q$1,0))&amp;"mm"</f>
        <v>=0.54mm</v>
      </c>
      <c r="M5" s="2" t="str">
        <f>"="&amp;VLOOKUP($AV5,Sheet2!$B$2:$Q$9,MATCH(MID(M$2,8,LEN(M$2)-17),Sheet2!$B$1:$Q$1,0))&amp;"mm"</f>
        <v>=10.16mm</v>
      </c>
      <c r="N5" s="2" t="str">
        <f>"="&amp;VLOOKUP($AX5+2,Sheet2!$U$1:$X$4,MATCH(MID(N$2,8,LEN(N$2)-17),Sheet2!$U$1:$X$1,0))</f>
        <v>=0.22</v>
      </c>
      <c r="O5" s="2" t="str">
        <f>"="&amp;VLOOKUP($AX5+2,Sheet2!$U$1:$X$4,MATCH(MID(O$2,8,LEN(O$2)-17),Sheet2!$U$1:$X$1,0))</f>
        <v>=0.275</v>
      </c>
      <c r="P5" s="2" t="str">
        <f>"="&amp;VLOOKUP($AV5,Sheet2!$B$2:$Q$9,MATCH(MID(P$2,8,LEN(P$2)-17),Sheet2!$B$1:$Q$1,0))&amp;"mm"</f>
        <v>=0.04mm</v>
      </c>
      <c r="Q5" s="23" t="str">
        <f t="shared" si="31"/>
        <v>=0.47mm</v>
      </c>
      <c r="R5" s="2" t="s">
        <v>8</v>
      </c>
      <c r="S5" s="22"/>
      <c r="T5" s="2">
        <f>VLOOKUP($AX5+2,Sheet2!$U$1:$X$4,MATCH(T$2,Sheet2!$U$1:$X$1,0))</f>
        <v>0.22</v>
      </c>
      <c r="U5" s="2">
        <f>VLOOKUP($AX5+2,Sheet2!$U$1:$X$4,MATCH(U$2,Sheet2!$U$1:$X$1,0))</f>
        <v>0.27500000000000002</v>
      </c>
      <c r="V5" s="2">
        <f>VLOOKUP($AV5,Sheet2!$B$2:$Q$9,MATCH(V$2,Sheet2!$B$1:$Q$1,0))</f>
        <v>6.8</v>
      </c>
      <c r="W5" s="2">
        <f>VLOOKUP($AV5,Sheet2!$B$2:$Q$9,MATCH(W$2,Sheet2!$B$1:$Q$1,0))</f>
        <v>2.7</v>
      </c>
      <c r="X5" s="2">
        <f>VLOOKUP($AV5,Sheet2!$B$2:$Q$9,MATCH(X$2,Sheet2!$B$1:$Q$1,0))</f>
        <v>1.8649999999999998</v>
      </c>
      <c r="Y5" s="2">
        <f>VLOOKUP($AV5,Sheet2!$B$2:$Q$9,MATCH(Y$2,Sheet2!$B$1:$Q$1,0))</f>
        <v>0.4</v>
      </c>
      <c r="Z5" s="2">
        <f>VLOOKUP($AV5,Sheet2!$B$2:$Q$9,MATCH(Z$2,Sheet2!$B$1:$Q$1,0))</f>
        <v>0.47</v>
      </c>
      <c r="AA5" s="20">
        <f t="shared" si="32"/>
        <v>0.45099999999999996</v>
      </c>
      <c r="AB5" s="21">
        <f t="shared" si="33"/>
        <v>1.0139999999999998</v>
      </c>
      <c r="AC5" s="2" t="s">
        <v>37</v>
      </c>
      <c r="AD5">
        <v>33</v>
      </c>
      <c r="AE5">
        <v>100</v>
      </c>
      <c r="AF5" s="17">
        <f t="shared" si="34"/>
        <v>3300</v>
      </c>
      <c r="AG5" s="12">
        <v>0.01</v>
      </c>
      <c r="AH5" s="6" t="b">
        <f t="shared" si="0"/>
        <v>1</v>
      </c>
      <c r="AI5" s="13" t="str">
        <f t="shared" si="1"/>
        <v>0.0</v>
      </c>
      <c r="AJ5" s="13">
        <f t="shared" si="2"/>
        <v>1000</v>
      </c>
      <c r="AK5" s="13">
        <f t="shared" si="3"/>
        <v>3</v>
      </c>
      <c r="AL5" s="13">
        <f t="shared" si="4"/>
        <v>3</v>
      </c>
      <c r="AM5" s="13">
        <f t="shared" si="5"/>
        <v>0</v>
      </c>
      <c r="AN5" s="13">
        <f t="shared" si="6"/>
        <v>0</v>
      </c>
      <c r="AO5" s="13" t="str">
        <f t="shared" si="7"/>
        <v>K</v>
      </c>
      <c r="AP5" s="13">
        <f t="shared" si="8"/>
        <v>3</v>
      </c>
      <c r="AQ5" s="13" t="str">
        <f t="shared" si="9"/>
        <v/>
      </c>
      <c r="AR5" s="13" t="str">
        <f t="shared" si="10"/>
        <v/>
      </c>
      <c r="AS5" s="6" t="str">
        <f t="shared" si="11"/>
        <v>3K3</v>
      </c>
      <c r="AT5" s="6" t="str">
        <f t="shared" si="12"/>
        <v>3.3K</v>
      </c>
      <c r="AU5" s="2">
        <v>400</v>
      </c>
      <c r="AV5" s="2">
        <f>VLOOKUP($AU5,Sheet2!$A$2:$B$15,2,0)</f>
        <v>3</v>
      </c>
      <c r="AW5" s="2">
        <f t="shared" si="13"/>
        <v>3</v>
      </c>
      <c r="AX5" s="2">
        <f t="shared" si="14"/>
        <v>3</v>
      </c>
      <c r="AY5" s="7">
        <f t="shared" si="15"/>
        <v>1000</v>
      </c>
      <c r="AZ5" s="2">
        <f t="shared" si="16"/>
        <v>3</v>
      </c>
      <c r="BA5" s="2">
        <f t="shared" si="17"/>
        <v>3</v>
      </c>
      <c r="BB5" s="2">
        <f t="shared" si="18"/>
        <v>0</v>
      </c>
      <c r="BC5" s="2">
        <f t="shared" si="19"/>
        <v>1</v>
      </c>
      <c r="BD5" s="2">
        <f t="shared" si="20"/>
        <v>1</v>
      </c>
      <c r="BE5" s="8" t="str">
        <f t="shared" si="21"/>
        <v>OR</v>
      </c>
      <c r="BF5" s="8" t="str">
        <f t="shared" si="22"/>
        <v>OR</v>
      </c>
      <c r="BG5" s="8" t="str">
        <f t="shared" si="23"/>
        <v>BK</v>
      </c>
      <c r="BH5" s="8" t="str">
        <f t="shared" si="24"/>
        <v>BN</v>
      </c>
      <c r="BI5" s="8" t="str">
        <f t="shared" si="25"/>
        <v>BN</v>
      </c>
      <c r="BJ5" s="8" t="str">
        <f t="shared" si="35"/>
        <v>OR</v>
      </c>
      <c r="BK5" s="8" t="str">
        <f t="shared" si="27"/>
        <v>OR</v>
      </c>
      <c r="BL5" s="8" t="str">
        <f t="shared" si="28"/>
        <v>BK</v>
      </c>
      <c r="BM5" s="8" t="str">
        <f t="shared" si="29"/>
        <v>BN</v>
      </c>
      <c r="BN5" s="8" t="str">
        <f>IF(BD5="","",IF(BD5&lt;1,CHOOSE(20*BD5,"GY","VT",,,"BL",,,,,"GN"),CHOOSE(BD5,"BN","RD",,,"GD",,,,,"SR",,,,,,,,,,"")))</f>
        <v>BN</v>
      </c>
    </row>
    <row r="6" spans="1:66">
      <c r="A6" s="2" t="str">
        <f xml:space="preserve"> "AXIAL-" &amp; TEXT($AU6/1000,"0.0")</f>
        <v>AXIAL-0.5</v>
      </c>
      <c r="B6" t="str">
        <f t="shared" si="30"/>
        <v>Resistor AXIAL-0.5</v>
      </c>
      <c r="C6" s="2">
        <v>5000268</v>
      </c>
      <c r="D6" s="2" t="s">
        <v>61</v>
      </c>
      <c r="E6" s="2" t="str">
        <f>"="&amp;VLOOKUP($AV6,Sheet2!$B$2:$Q$9,MATCH(MID(E$2,8,LEN(E$2)-17),Sheet2!$B$1:$Q$1,0))&amp;"mm"</f>
        <v>=9mm</v>
      </c>
      <c r="F6" s="2" t="str">
        <f>"="&amp;VLOOKUP($AV6,Sheet2!$B$2:$Q$9,MATCH(MID(F$2,8,LEN(F$2)-17),Sheet2!$B$1:$Q$1,0))&amp;"mm"</f>
        <v>=3mm</v>
      </c>
      <c r="G6" s="2" t="str">
        <f>"="&amp;VLOOKUP($AV6,Sheet2!$B$2:$Q$9,MATCH(MID(G$2,8,LEN(G$2)-17),Sheet2!$B$1:$Q$1,0))&amp;"mm"</f>
        <v>=2.7mm</v>
      </c>
      <c r="H6" s="2" t="str">
        <f>"="&amp;VLOOKUP($AV6,Sheet2!$B$2:$Q$9,MATCH(MID(H$2,8,LEN(H$2)-17),Sheet2!$B$1:$Q$1,0))&amp;"mm"</f>
        <v>=0.22mm</v>
      </c>
      <c r="I6" s="2" t="str">
        <f>"="&amp;VLOOKUP($AV6,Sheet2!$B$2:$Q$9,MATCH(MID(I$2,8,LEN(I$2)-17),Sheet2!$B$1:$Q$1,0))&amp;"mm"</f>
        <v>=5.67mm</v>
      </c>
      <c r="J6" s="2" t="str">
        <f>"="&amp;VLOOKUP($AV6,Sheet2!$B$2:$Q$9,MATCH(MID(J$2,8,LEN(J$2)-17),Sheet2!$B$1:$Q$1,0))&amp;"mm"</f>
        <v>=0.5mm</v>
      </c>
      <c r="K6" s="2" t="str">
        <f>"="&amp;VLOOKUP($AV6,Sheet2!$B$2:$Q$9,MATCH(MID(K$2,8,LEN(K$2)-17),Sheet2!$B$1:$Q$1,0))&amp;"mm"</f>
        <v>=1mm</v>
      </c>
      <c r="L6" s="2" t="str">
        <f>"="&amp;VLOOKUP($AV6,Sheet2!$B$2:$Q$9,MATCH(MID(L$2,8,LEN(L$2)-17),Sheet2!$B$1:$Q$1,0))&amp;"mm"</f>
        <v>=0.54mm</v>
      </c>
      <c r="M6" s="2" t="str">
        <f>"="&amp;VLOOKUP($AV6,Sheet2!$B$2:$Q$9,MATCH(MID(M$2,8,LEN(M$2)-17),Sheet2!$B$1:$Q$1,0))&amp;"mm"</f>
        <v>=12.7mm</v>
      </c>
      <c r="N6" s="2" t="str">
        <f>"="&amp;VLOOKUP($AX6+2,Sheet2!$U$1:$X$4,MATCH(MID(N$2,8,LEN(N$2)-17),Sheet2!$U$1:$X$1,0))</f>
        <v>=0.135</v>
      </c>
      <c r="O6" s="2" t="str">
        <f>"="&amp;VLOOKUP($AX6+2,Sheet2!$U$1:$X$4,MATCH(MID(O$2,8,LEN(O$2)-17),Sheet2!$U$1:$X$1,0))</f>
        <v>=0.07</v>
      </c>
      <c r="P6" s="2" t="str">
        <f>"="&amp;VLOOKUP($AV6,Sheet2!$B$2:$Q$9,MATCH(MID(P$2,8,LEN(P$2)-17),Sheet2!$B$1:$Q$1,0))&amp;"mm"</f>
        <v>=0.04mm</v>
      </c>
      <c r="Q6" s="23" t="str">
        <f t="shared" si="31"/>
        <v>=0.59mm</v>
      </c>
      <c r="R6" s="2" t="s">
        <v>8</v>
      </c>
      <c r="S6" s="22"/>
      <c r="T6" s="2">
        <f>VLOOKUP($AX6+2,Sheet2!$U$1:$X$4,MATCH(T$2,Sheet2!$U$1:$X$1,0))</f>
        <v>0.13500000000000001</v>
      </c>
      <c r="U6" s="2">
        <f>VLOOKUP($AX6+2,Sheet2!$U$1:$X$4,MATCH(U$2,Sheet2!$U$1:$X$1,0))</f>
        <v>7.0000000000000007E-2</v>
      </c>
      <c r="V6" s="2">
        <f>VLOOKUP($AV6,Sheet2!$B$2:$Q$9,MATCH(V$2,Sheet2!$B$1:$Q$1,0))</f>
        <v>9</v>
      </c>
      <c r="W6" s="2">
        <f>VLOOKUP($AV6,Sheet2!$B$2:$Q$9,MATCH(W$2,Sheet2!$B$1:$Q$1,0))</f>
        <v>5.67</v>
      </c>
      <c r="X6" s="2">
        <f>VLOOKUP($AV6,Sheet2!$B$2:$Q$9,MATCH(X$2,Sheet2!$B$1:$Q$1,0))</f>
        <v>1.3240909090909092</v>
      </c>
      <c r="Y6" s="2">
        <f>VLOOKUP($AV6,Sheet2!$B$2:$Q$9,MATCH(Y$2,Sheet2!$B$1:$Q$1,0))</f>
        <v>0.5</v>
      </c>
      <c r="Z6" s="2">
        <f>VLOOKUP($AV6,Sheet2!$B$2:$Q$9,MATCH(Z$2,Sheet2!$B$1:$Q$1,0))</f>
        <v>0.59499999999999997</v>
      </c>
      <c r="AA6" s="20">
        <f t="shared" si="32"/>
        <v>0.22477500000000003</v>
      </c>
      <c r="AB6" s="21">
        <f t="shared" si="33"/>
        <v>0.59931590909090915</v>
      </c>
      <c r="AC6" s="2" t="s">
        <v>37</v>
      </c>
      <c r="AD6">
        <v>47</v>
      </c>
      <c r="AE6">
        <v>1000</v>
      </c>
      <c r="AF6" s="17">
        <f t="shared" si="34"/>
        <v>47000</v>
      </c>
      <c r="AG6" s="12">
        <v>0.05</v>
      </c>
      <c r="AH6" s="6" t="b">
        <f t="shared" si="0"/>
        <v>0</v>
      </c>
      <c r="AI6" s="13" t="str">
        <f t="shared" si="1"/>
        <v>GENERAL</v>
      </c>
      <c r="AJ6" s="13">
        <f t="shared" si="2"/>
        <v>1000</v>
      </c>
      <c r="AK6" s="13">
        <f t="shared" si="3"/>
        <v>47</v>
      </c>
      <c r="AL6" s="13">
        <f t="shared" si="4"/>
        <v>0</v>
      </c>
      <c r="AM6" s="13">
        <f t="shared" si="5"/>
        <v>0</v>
      </c>
      <c r="AN6" s="13">
        <f t="shared" si="6"/>
        <v>0</v>
      </c>
      <c r="AO6" s="13" t="str">
        <f t="shared" si="7"/>
        <v>K</v>
      </c>
      <c r="AP6" s="13" t="str">
        <f t="shared" si="8"/>
        <v/>
      </c>
      <c r="AQ6" s="13" t="str">
        <f t="shared" si="9"/>
        <v/>
      </c>
      <c r="AR6" s="13" t="str">
        <f t="shared" si="10"/>
        <v/>
      </c>
      <c r="AS6" s="6" t="str">
        <f t="shared" si="11"/>
        <v>47K</v>
      </c>
      <c r="AT6" s="6" t="str">
        <f t="shared" si="12"/>
        <v>47K</v>
      </c>
      <c r="AU6" s="2">
        <v>500</v>
      </c>
      <c r="AV6" s="2">
        <f>VLOOKUP($AU6,Sheet2!$A$2:$B$15,2,0)</f>
        <v>4</v>
      </c>
      <c r="AW6" s="2">
        <f>INT(LOG($AF6,10))</f>
        <v>4</v>
      </c>
      <c r="AX6" s="2">
        <f t="shared" si="14"/>
        <v>2</v>
      </c>
      <c r="AY6" s="7">
        <f t="shared" si="15"/>
        <v>10000</v>
      </c>
      <c r="AZ6" s="2">
        <f t="shared" si="16"/>
        <v>4</v>
      </c>
      <c r="BA6" s="2">
        <f t="shared" si="17"/>
        <v>7</v>
      </c>
      <c r="BB6" s="2" t="str">
        <f t="shared" si="18"/>
        <v/>
      </c>
      <c r="BC6" s="2">
        <f t="shared" si="19"/>
        <v>3</v>
      </c>
      <c r="BD6" s="2">
        <f t="shared" si="20"/>
        <v>5</v>
      </c>
      <c r="BE6" s="8" t="str">
        <f t="shared" si="21"/>
        <v>YL</v>
      </c>
      <c r="BF6" s="8" t="str">
        <f t="shared" si="22"/>
        <v>VT</v>
      </c>
      <c r="BG6" s="8" t="str">
        <f t="shared" si="23"/>
        <v/>
      </c>
      <c r="BH6" s="8" t="str">
        <f t="shared" si="24"/>
        <v>OR</v>
      </c>
      <c r="BI6" s="8" t="str">
        <f t="shared" si="25"/>
        <v>GD</v>
      </c>
      <c r="BJ6" s="8" t="str">
        <f t="shared" si="35"/>
        <v>YL</v>
      </c>
      <c r="BK6" s="8" t="str">
        <f t="shared" si="27"/>
        <v>VT</v>
      </c>
      <c r="BL6" s="8" t="str">
        <f t="shared" si="28"/>
        <v>OR</v>
      </c>
      <c r="BM6" s="8" t="str">
        <f t="shared" si="29"/>
        <v/>
      </c>
      <c r="BN6" s="8" t="str">
        <f t="shared" ref="BN6:BN8" si="37">IF(BD6="","",IF(BD6&lt;1,CHOOSE(20*BD6,"GY","VT",,,"BL",,,,,"GN"),CHOOSE(BD6,"BN","RD",,,"GD",,,,,"SR",,,,,,,,,,"")))</f>
        <v>GD</v>
      </c>
    </row>
    <row r="7" spans="1:66">
      <c r="A7" s="2" t="str">
        <f xml:space="preserve"> "AXIAL-" &amp; TEXT($AU7/1000,"0.0")</f>
        <v>AXIAL-0.6</v>
      </c>
      <c r="B7" t="str">
        <f t="shared" si="30"/>
        <v>Resistor AXIAL-0.6</v>
      </c>
      <c r="C7" s="2">
        <v>5000268</v>
      </c>
      <c r="D7" s="2" t="s">
        <v>61</v>
      </c>
      <c r="E7" s="2" t="str">
        <f>"="&amp;VLOOKUP($AV7,Sheet2!$B$2:$Q$9,MATCH(MID(E$2,8,LEN(E$2)-17),Sheet2!$B$1:$Q$1,0))&amp;"mm"</f>
        <v>=12mm</v>
      </c>
      <c r="F7" s="2" t="str">
        <f>"="&amp;VLOOKUP($AV7,Sheet2!$B$2:$Q$9,MATCH(MID(F$2,8,LEN(F$2)-17),Sheet2!$B$1:$Q$1,0))&amp;"mm"</f>
        <v>=5mm</v>
      </c>
      <c r="G7" s="2" t="str">
        <f>"="&amp;VLOOKUP($AV7,Sheet2!$B$2:$Q$9,MATCH(MID(G$2,8,LEN(G$2)-17),Sheet2!$B$1:$Q$1,0))&amp;"mm"</f>
        <v>=4.5mm</v>
      </c>
      <c r="H7" s="2" t="str">
        <f>"="&amp;VLOOKUP($AV7,Sheet2!$B$2:$Q$9,MATCH(MID(H$2,8,LEN(H$2)-17),Sheet2!$B$1:$Q$1,0))&amp;"mm"</f>
        <v>=0.22mm</v>
      </c>
      <c r="I7" s="2" t="str">
        <f>"="&amp;VLOOKUP($AV7,Sheet2!$B$2:$Q$9,MATCH(MID(I$2,8,LEN(I$2)-17),Sheet2!$B$1:$Q$1,0))&amp;"mm"</f>
        <v>=7.56mm</v>
      </c>
      <c r="J7" s="2" t="str">
        <f>"="&amp;VLOOKUP($AV7,Sheet2!$B$2:$Q$9,MATCH(MID(J$2,8,LEN(J$2)-17),Sheet2!$B$1:$Q$1,0))&amp;"mm"</f>
        <v>=0.7mm</v>
      </c>
      <c r="K7" s="2" t="str">
        <f>"="&amp;VLOOKUP($AV7,Sheet2!$B$2:$Q$9,MATCH(MID(K$2,8,LEN(K$2)-17),Sheet2!$B$1:$Q$1,0))&amp;"mm"</f>
        <v>=1mm</v>
      </c>
      <c r="L7" s="2" t="str">
        <f>"="&amp;VLOOKUP($AV7,Sheet2!$B$2:$Q$9,MATCH(MID(L$2,8,LEN(L$2)-17),Sheet2!$B$1:$Q$1,0))&amp;"mm"</f>
        <v>=0.7mm</v>
      </c>
      <c r="M7" s="2" t="str">
        <f>"="&amp;VLOOKUP($AV7,Sheet2!$B$2:$Q$9,MATCH(MID(M$2,8,LEN(M$2)-17),Sheet2!$B$1:$Q$1,0))&amp;"mm"</f>
        <v>=15.24mm</v>
      </c>
      <c r="N7" s="2" t="str">
        <f>"="&amp;VLOOKUP($AX7+2,Sheet2!$U$1:$X$4,MATCH(MID(N$2,8,LEN(N$2)-17),Sheet2!$U$1:$X$1,0))</f>
        <v>=0.135</v>
      </c>
      <c r="O7" s="2" t="str">
        <f>"="&amp;VLOOKUP($AX7+2,Sheet2!$U$1:$X$4,MATCH(MID(O$2,8,LEN(O$2)-17),Sheet2!$U$1:$X$1,0))</f>
        <v>=0.07</v>
      </c>
      <c r="P7" s="2" t="str">
        <f>"="&amp;VLOOKUP($AV7,Sheet2!$B$2:$Q$9,MATCH(MID(P$2,8,LEN(P$2)-17),Sheet2!$B$1:$Q$1,0))&amp;"mm"</f>
        <v>=0.04mm</v>
      </c>
      <c r="Q7" s="23" t="str">
        <f t="shared" si="31"/>
        <v>=0.65mm</v>
      </c>
      <c r="R7" s="2" t="s">
        <v>8</v>
      </c>
      <c r="S7" s="22"/>
      <c r="T7" s="2">
        <f>VLOOKUP($AX7+2,Sheet2!$U$1:$X$4,MATCH(T$2,Sheet2!$U$1:$X$1,0))</f>
        <v>0.13500000000000001</v>
      </c>
      <c r="U7" s="2">
        <f>VLOOKUP($AX7+2,Sheet2!$U$1:$X$4,MATCH(U$2,Sheet2!$U$1:$X$1,0))</f>
        <v>7.0000000000000007E-2</v>
      </c>
      <c r="V7" s="2">
        <f>VLOOKUP($AV7,Sheet2!$B$2:$Q$9,MATCH(V$2,Sheet2!$B$1:$Q$1,0))</f>
        <v>12</v>
      </c>
      <c r="W7" s="2">
        <f>VLOOKUP($AV7,Sheet2!$B$2:$Q$9,MATCH(W$2,Sheet2!$B$1:$Q$1,0))</f>
        <v>7.56</v>
      </c>
      <c r="X7" s="2">
        <f>VLOOKUP($AV7,Sheet2!$B$2:$Q$9,MATCH(X$2,Sheet2!$B$1:$Q$1,0))</f>
        <v>1.6518181818181819</v>
      </c>
      <c r="Y7" s="2">
        <f>VLOOKUP($AV7,Sheet2!$B$2:$Q$9,MATCH(Y$2,Sheet2!$B$1:$Q$1,0))</f>
        <v>0.7</v>
      </c>
      <c r="Z7" s="2">
        <f>VLOOKUP($AV7,Sheet2!$B$2:$Q$9,MATCH(Z$2,Sheet2!$B$1:$Q$1,0))</f>
        <v>1.0549999999999999</v>
      </c>
      <c r="AA7" s="20">
        <f t="shared" si="32"/>
        <v>0.29970000000000002</v>
      </c>
      <c r="AB7" s="21">
        <f t="shared" si="33"/>
        <v>0.65211818181818182</v>
      </c>
      <c r="AC7" s="2" t="s">
        <v>37</v>
      </c>
      <c r="AD7">
        <v>56</v>
      </c>
      <c r="AE7">
        <v>10000</v>
      </c>
      <c r="AF7" s="17">
        <f t="shared" si="34"/>
        <v>560000</v>
      </c>
      <c r="AG7" s="12">
        <v>0.05</v>
      </c>
      <c r="AH7" s="6" t="b">
        <f t="shared" si="0"/>
        <v>0</v>
      </c>
      <c r="AI7" s="13" t="str">
        <f t="shared" si="1"/>
        <v>GENERAL</v>
      </c>
      <c r="AJ7" s="13">
        <f t="shared" si="2"/>
        <v>1000</v>
      </c>
      <c r="AK7" s="13">
        <f t="shared" si="3"/>
        <v>560</v>
      </c>
      <c r="AL7" s="13">
        <f t="shared" si="4"/>
        <v>0</v>
      </c>
      <c r="AM7" s="13">
        <f t="shared" si="5"/>
        <v>0</v>
      </c>
      <c r="AN7" s="13">
        <f t="shared" si="6"/>
        <v>0</v>
      </c>
      <c r="AO7" s="13" t="str">
        <f t="shared" si="7"/>
        <v>K</v>
      </c>
      <c r="AP7" s="13" t="str">
        <f t="shared" si="8"/>
        <v/>
      </c>
      <c r="AQ7" s="13" t="str">
        <f t="shared" si="9"/>
        <v/>
      </c>
      <c r="AR7" s="13" t="str">
        <f t="shared" si="10"/>
        <v/>
      </c>
      <c r="AS7" s="6" t="str">
        <f t="shared" si="11"/>
        <v>560K</v>
      </c>
      <c r="AT7" s="6" t="str">
        <f t="shared" si="12"/>
        <v>560K</v>
      </c>
      <c r="AU7" s="2">
        <v>600</v>
      </c>
      <c r="AV7" s="2">
        <f>VLOOKUP($AU7,Sheet2!$A$2:$B$15,2,0)</f>
        <v>5</v>
      </c>
      <c r="AW7" s="2">
        <f>INT(LOG($AF7,10))</f>
        <v>5</v>
      </c>
      <c r="AX7" s="2">
        <f t="shared" si="14"/>
        <v>2</v>
      </c>
      <c r="AY7" s="7">
        <f t="shared" si="15"/>
        <v>100000</v>
      </c>
      <c r="AZ7" s="2">
        <f t="shared" si="16"/>
        <v>5</v>
      </c>
      <c r="BA7" s="2">
        <f t="shared" si="17"/>
        <v>6</v>
      </c>
      <c r="BB7" s="2" t="str">
        <f t="shared" si="18"/>
        <v/>
      </c>
      <c r="BC7" s="2">
        <f t="shared" si="19"/>
        <v>4</v>
      </c>
      <c r="BD7" s="2">
        <f t="shared" si="20"/>
        <v>5</v>
      </c>
      <c r="BE7" s="8" t="str">
        <f t="shared" si="21"/>
        <v>GN</v>
      </c>
      <c r="BF7" s="8" t="str">
        <f t="shared" si="22"/>
        <v>BL</v>
      </c>
      <c r="BG7" s="8" t="str">
        <f t="shared" si="23"/>
        <v/>
      </c>
      <c r="BH7" s="8" t="str">
        <f t="shared" si="24"/>
        <v>YL</v>
      </c>
      <c r="BI7" s="8" t="str">
        <f t="shared" si="25"/>
        <v>GD</v>
      </c>
      <c r="BJ7" s="8" t="str">
        <f t="shared" si="35"/>
        <v>GN</v>
      </c>
      <c r="BK7" s="8" t="str">
        <f t="shared" si="27"/>
        <v>BL</v>
      </c>
      <c r="BL7" s="8" t="str">
        <f t="shared" si="28"/>
        <v>YL</v>
      </c>
      <c r="BM7" s="8" t="str">
        <f t="shared" si="29"/>
        <v/>
      </c>
      <c r="BN7" s="8" t="str">
        <f t="shared" si="37"/>
        <v>GD</v>
      </c>
    </row>
    <row r="8" spans="1:66">
      <c r="A8" s="2" t="str">
        <f xml:space="preserve"> "AXIAL-" &amp; TEXT($AU8/1000,"0.0")</f>
        <v>AXIAL-0.8</v>
      </c>
      <c r="B8" t="str">
        <f t="shared" si="30"/>
        <v>Resistor AXIAL-0.8</v>
      </c>
      <c r="C8" s="2">
        <v>5000268</v>
      </c>
      <c r="D8" s="2" t="s">
        <v>61</v>
      </c>
      <c r="E8" s="2" t="str">
        <f>"="&amp;VLOOKUP($AV8,Sheet2!$B$2:$Q$9,MATCH(MID(E$2,8,LEN(E$2)-17),Sheet2!$B$1:$Q$1,0))&amp;"mm"</f>
        <v>=16mm</v>
      </c>
      <c r="F8" s="2" t="str">
        <f>"="&amp;VLOOKUP($AV8,Sheet2!$B$2:$Q$9,MATCH(MID(F$2,8,LEN(F$2)-17),Sheet2!$B$1:$Q$1,0))&amp;"mm"</f>
        <v>=5.5mm</v>
      </c>
      <c r="G8" s="2" t="str">
        <f>"="&amp;VLOOKUP($AV8,Sheet2!$B$2:$Q$9,MATCH(MID(G$2,8,LEN(G$2)-17),Sheet2!$B$1:$Q$1,0))&amp;"mm"</f>
        <v>=4.95mm</v>
      </c>
      <c r="H8" s="2" t="str">
        <f>"="&amp;VLOOKUP($AV8,Sheet2!$B$2:$Q$9,MATCH(MID(H$2,8,LEN(H$2)-17),Sheet2!$B$1:$Q$1,0))&amp;"mm"</f>
        <v>=0.22mm</v>
      </c>
      <c r="I8" s="2" t="str">
        <f>"="&amp;VLOOKUP($AV8,Sheet2!$B$2:$Q$9,MATCH(MID(I$2,8,LEN(I$2)-17),Sheet2!$B$1:$Q$1,0))&amp;"mm"</f>
        <v>=10.08mm</v>
      </c>
      <c r="J8" s="2" t="str">
        <f>"="&amp;VLOOKUP($AV8,Sheet2!$B$2:$Q$9,MATCH(MID(J$2,8,LEN(J$2)-17),Sheet2!$B$1:$Q$1,0))&amp;"mm"</f>
        <v>=0.7mm</v>
      </c>
      <c r="K8" s="2" t="str">
        <f>"="&amp;VLOOKUP($AV8,Sheet2!$B$2:$Q$9,MATCH(MID(K$2,8,LEN(K$2)-17),Sheet2!$B$1:$Q$1,0))&amp;"mm"</f>
        <v>=1mm</v>
      </c>
      <c r="L8" s="2" t="str">
        <f>"="&amp;VLOOKUP($AV8,Sheet2!$B$2:$Q$9,MATCH(MID(L$2,8,LEN(L$2)-17),Sheet2!$B$1:$Q$1,0))&amp;"mm"</f>
        <v>=0.7mm</v>
      </c>
      <c r="M8" s="2" t="str">
        <f>"="&amp;VLOOKUP($AV8,Sheet2!$B$2:$Q$9,MATCH(MID(M$2,8,LEN(M$2)-17),Sheet2!$B$1:$Q$1,0))&amp;"mm"</f>
        <v>=20.32mm</v>
      </c>
      <c r="N8" s="2" t="str">
        <f>"="&amp;VLOOKUP($AX8+2,Sheet2!$U$1:$X$4,MATCH(MID(N$2,8,LEN(N$2)-17),Sheet2!$U$1:$X$1,0))</f>
        <v>=0.135</v>
      </c>
      <c r="O8" s="2" t="str">
        <f>"="&amp;VLOOKUP($AX8+2,Sheet2!$U$1:$X$4,MATCH(MID(O$2,8,LEN(O$2)-17),Sheet2!$U$1:$X$1,0))</f>
        <v>=0.07</v>
      </c>
      <c r="P8" s="2" t="str">
        <f>"="&amp;VLOOKUP($AV8,Sheet2!$B$2:$Q$9,MATCH(MID(P$2,8,LEN(P$2)-17),Sheet2!$B$1:$Q$1,0))&amp;"mm"</f>
        <v>=0.04mm</v>
      </c>
      <c r="Q8" s="23" t="str">
        <f t="shared" si="31"/>
        <v>=1.18mm</v>
      </c>
      <c r="R8" s="2" t="s">
        <v>8</v>
      </c>
      <c r="S8" s="22"/>
      <c r="T8" s="2">
        <f>VLOOKUP($AX8+2,Sheet2!$U$1:$X$4,MATCH(T$2,Sheet2!$U$1:$X$1,0))</f>
        <v>0.13500000000000001</v>
      </c>
      <c r="U8" s="2">
        <f>VLOOKUP($AX8+2,Sheet2!$U$1:$X$4,MATCH(U$2,Sheet2!$U$1:$X$1,0))</f>
        <v>7.0000000000000007E-2</v>
      </c>
      <c r="V8" s="2">
        <f>VLOOKUP($AV8,Sheet2!$B$2:$Q$9,MATCH(V$2,Sheet2!$B$1:$Q$1,0))</f>
        <v>16</v>
      </c>
      <c r="W8" s="2">
        <f>VLOOKUP($AV8,Sheet2!$B$2:$Q$9,MATCH(W$2,Sheet2!$B$1:$Q$1,0))</f>
        <v>10.08</v>
      </c>
      <c r="X8" s="2">
        <f>VLOOKUP($AV8,Sheet2!$B$2:$Q$9,MATCH(X$2,Sheet2!$B$1:$Q$1,0))</f>
        <v>2.335</v>
      </c>
      <c r="Y8" s="2">
        <f>VLOOKUP($AV8,Sheet2!$B$2:$Q$9,MATCH(Y$2,Sheet2!$B$1:$Q$1,0))</f>
        <v>0.7</v>
      </c>
      <c r="Z8" s="2">
        <f>VLOOKUP($AV8,Sheet2!$B$2:$Q$9,MATCH(Z$2,Sheet2!$B$1:$Q$1,0))</f>
        <v>1.18</v>
      </c>
      <c r="AA8" s="20">
        <f t="shared" si="32"/>
        <v>0.39960000000000001</v>
      </c>
      <c r="AB8" s="21">
        <f t="shared" si="33"/>
        <v>1.2354000000000001</v>
      </c>
      <c r="AC8" s="2" t="s">
        <v>37</v>
      </c>
      <c r="AD8">
        <v>82</v>
      </c>
      <c r="AE8">
        <v>100000</v>
      </c>
      <c r="AF8" s="17">
        <f t="shared" si="34"/>
        <v>8200000</v>
      </c>
      <c r="AG8" s="12">
        <v>0.05</v>
      </c>
      <c r="AH8" s="6" t="b">
        <f t="shared" si="0"/>
        <v>1</v>
      </c>
      <c r="AI8" s="13" t="str">
        <f t="shared" si="1"/>
        <v>0.0</v>
      </c>
      <c r="AJ8" s="13">
        <f t="shared" si="2"/>
        <v>1000000</v>
      </c>
      <c r="AK8" s="13">
        <f t="shared" si="3"/>
        <v>8</v>
      </c>
      <c r="AL8" s="13">
        <f t="shared" si="4"/>
        <v>2</v>
      </c>
      <c r="AM8" s="13">
        <f t="shared" si="5"/>
        <v>0</v>
      </c>
      <c r="AN8" s="13">
        <f t="shared" si="6"/>
        <v>0</v>
      </c>
      <c r="AO8" s="13" t="str">
        <f t="shared" si="7"/>
        <v>M</v>
      </c>
      <c r="AP8" s="13">
        <f t="shared" si="8"/>
        <v>2</v>
      </c>
      <c r="AQ8" s="13" t="str">
        <f t="shared" si="9"/>
        <v/>
      </c>
      <c r="AR8" s="13" t="str">
        <f t="shared" si="10"/>
        <v/>
      </c>
      <c r="AS8" s="6" t="str">
        <f t="shared" si="11"/>
        <v>8M2</v>
      </c>
      <c r="AT8" s="6" t="str">
        <f t="shared" si="12"/>
        <v>8.2M</v>
      </c>
      <c r="AU8" s="2">
        <v>800</v>
      </c>
      <c r="AV8" s="2">
        <f>VLOOKUP($AU8,Sheet2!$A$2:$B$15,2,0)</f>
        <v>6</v>
      </c>
      <c r="AW8" s="2">
        <f>INT(LOG($AF8,10))</f>
        <v>6</v>
      </c>
      <c r="AX8" s="2">
        <f t="shared" si="14"/>
        <v>2</v>
      </c>
      <c r="AY8" s="7">
        <f t="shared" si="15"/>
        <v>1000000</v>
      </c>
      <c r="AZ8" s="2">
        <f t="shared" si="16"/>
        <v>8</v>
      </c>
      <c r="BA8" s="2">
        <f t="shared" si="17"/>
        <v>2</v>
      </c>
      <c r="BB8" s="2" t="str">
        <f t="shared" si="18"/>
        <v/>
      </c>
      <c r="BC8" s="2">
        <f t="shared" si="19"/>
        <v>5</v>
      </c>
      <c r="BD8" s="2">
        <f t="shared" si="20"/>
        <v>5</v>
      </c>
      <c r="BE8" s="8" t="str">
        <f t="shared" si="21"/>
        <v>GY</v>
      </c>
      <c r="BF8" s="8" t="str">
        <f t="shared" si="22"/>
        <v>RD</v>
      </c>
      <c r="BG8" s="8" t="str">
        <f t="shared" si="23"/>
        <v/>
      </c>
      <c r="BH8" s="8" t="str">
        <f t="shared" si="24"/>
        <v>GN</v>
      </c>
      <c r="BI8" s="8" t="str">
        <f t="shared" si="25"/>
        <v>GD</v>
      </c>
      <c r="BJ8" s="8" t="str">
        <f t="shared" si="35"/>
        <v>GY</v>
      </c>
      <c r="BK8" s="8" t="str">
        <f t="shared" si="27"/>
        <v>RD</v>
      </c>
      <c r="BL8" s="8" t="str">
        <f t="shared" si="28"/>
        <v>GN</v>
      </c>
      <c r="BM8" s="8" t="str">
        <f t="shared" si="29"/>
        <v/>
      </c>
      <c r="BN8" s="8" t="str">
        <f t="shared" si="37"/>
        <v>GD</v>
      </c>
    </row>
    <row r="9" spans="1:66">
      <c r="A9" s="2"/>
    </row>
    <row r="10" spans="1:66">
      <c r="A10" s="2"/>
    </row>
    <row r="11" spans="1:66">
      <c r="A11" s="2"/>
    </row>
    <row r="12" spans="1:66">
      <c r="A12" s="2"/>
    </row>
    <row r="13" spans="1:66">
      <c r="A13" s="2"/>
    </row>
    <row r="14" spans="1:66">
      <c r="A14" s="2"/>
    </row>
    <row r="15" spans="1:66">
      <c r="A15" s="2"/>
    </row>
    <row r="16" spans="1:66">
      <c r="A16" s="2"/>
    </row>
    <row r="17" spans="1:1">
      <c r="A17" s="2"/>
    </row>
    <row r="18" spans="1:1">
      <c r="A18" s="2"/>
    </row>
    <row r="19" spans="1:1">
      <c r="A19" s="2"/>
    </row>
    <row r="20" spans="1:1">
      <c r="A20" s="2"/>
    </row>
    <row r="21" spans="1:1">
      <c r="A21" s="2"/>
    </row>
    <row r="22" spans="1:1">
      <c r="A22" s="2"/>
    </row>
    <row r="23" spans="1:1">
      <c r="A23" s="2"/>
    </row>
    <row r="24" spans="1:1">
      <c r="A24" s="2"/>
    </row>
    <row r="25" spans="1:1">
      <c r="A25" s="2"/>
    </row>
    <row r="26" spans="1:1">
      <c r="A26" s="2"/>
    </row>
    <row r="27" spans="1:1">
      <c r="A27" s="2"/>
    </row>
    <row r="28" spans="1:1">
      <c r="A28" s="2"/>
    </row>
    <row r="29" spans="1:1">
      <c r="A29" s="2"/>
    </row>
  </sheetData>
  <dataValidations disablePrompts="1" count="3">
    <dataValidation showInputMessage="1" showErrorMessage="1" errorTitle="SOLIDWORKS Error:" error="The value you have entered is invalid.  Please enter a valid value before continuing." promptTitle="D4@Sketch2" prompt="Enter a valid value for this parameter." sqref="AA3:AA8"/>
    <dataValidation type="list" allowBlank="1" showInputMessage="1" promptTitle="$PARTNUMBER" prompt="Enter the part number." sqref="R3:R8">
      <formula1>"$DOCUMENT,$CONFIGURATION,$PARENT,$D,$C,$P"</formula1>
    </dataValidation>
    <dataValidation type="list" allowBlank="1" showInputMessage="1" promptTitle="$DISPLAYSTATE" prompt="Select the display state name" sqref="D3:D8">
      <formula1>"Metal,Carbon,"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W15"/>
  <sheetViews>
    <sheetView workbookViewId="0">
      <selection activeCell="I12" sqref="I12"/>
    </sheetView>
  </sheetViews>
  <sheetFormatPr defaultRowHeight="15"/>
  <cols>
    <col min="1" max="1" width="8.140625" customWidth="1"/>
    <col min="3" max="3" width="7.28515625" customWidth="1"/>
    <col min="4" max="4" width="6.140625" bestFit="1" customWidth="1"/>
    <col min="5" max="5" width="5" bestFit="1" customWidth="1"/>
    <col min="6" max="6" width="10.140625" customWidth="1"/>
    <col min="7" max="7" width="5" bestFit="1" customWidth="1"/>
    <col min="8" max="8" width="7.5703125" customWidth="1"/>
    <col min="9" max="9" width="4" bestFit="1" customWidth="1"/>
    <col min="10" max="10" width="5" bestFit="1" customWidth="1"/>
    <col min="11" max="11" width="4" bestFit="1" customWidth="1"/>
    <col min="12" max="12" width="6" bestFit="1" customWidth="1"/>
    <col min="13" max="13" width="6" customWidth="1"/>
    <col min="14" max="14" width="5" bestFit="1" customWidth="1"/>
    <col min="15" max="16" width="6" customWidth="1"/>
  </cols>
  <sheetData>
    <row r="1" spans="1:23" ht="122.25">
      <c r="A1" t="s">
        <v>60</v>
      </c>
      <c r="B1" t="s">
        <v>25</v>
      </c>
      <c r="C1" s="4" t="s">
        <v>26</v>
      </c>
      <c r="D1" s="4" t="s">
        <v>34</v>
      </c>
      <c r="E1" s="4" t="s">
        <v>27</v>
      </c>
      <c r="F1" s="4" t="s">
        <v>28</v>
      </c>
      <c r="G1" s="4" t="s">
        <v>29</v>
      </c>
      <c r="H1" s="4" t="s">
        <v>30</v>
      </c>
      <c r="I1" s="4" t="s">
        <v>31</v>
      </c>
      <c r="J1" s="4" t="s">
        <v>32</v>
      </c>
      <c r="K1" s="4" t="s">
        <v>35</v>
      </c>
      <c r="L1" s="4" t="s">
        <v>33</v>
      </c>
      <c r="M1" s="4" t="s">
        <v>65</v>
      </c>
      <c r="N1" s="4" t="s">
        <v>64</v>
      </c>
      <c r="O1" s="4" t="s">
        <v>68</v>
      </c>
      <c r="P1" s="4"/>
      <c r="Q1" s="4" t="s">
        <v>54</v>
      </c>
      <c r="U1" t="s">
        <v>57</v>
      </c>
      <c r="V1" s="4" t="s">
        <v>58</v>
      </c>
      <c r="W1" s="4" t="s">
        <v>59</v>
      </c>
    </row>
    <row r="2" spans="1:23">
      <c r="A2" s="14">
        <v>200</v>
      </c>
      <c r="B2">
        <v>1</v>
      </c>
      <c r="C2">
        <v>3.5</v>
      </c>
      <c r="D2">
        <v>1.85</v>
      </c>
      <c r="E2">
        <f>ROUND(85%*$D2,2)</f>
        <v>1.57</v>
      </c>
      <c r="F2">
        <v>0.5</v>
      </c>
      <c r="G2">
        <f>ROUND($G$4/$C$4*C2,2)</f>
        <v>1.39</v>
      </c>
      <c r="H2">
        <f>ROUND($H$4/$G$4*G2,2)</f>
        <v>0.21</v>
      </c>
      <c r="I2">
        <v>0.6</v>
      </c>
      <c r="J2">
        <v>0.45</v>
      </c>
      <c r="K2">
        <v>200</v>
      </c>
      <c r="L2">
        <f>$K2*25.4/1000</f>
        <v>5.08</v>
      </c>
      <c r="M2">
        <f>($C2-$G2-($D2-$E2)/$F2/2)/2</f>
        <v>0.91500000000000015</v>
      </c>
      <c r="N2">
        <v>0.04</v>
      </c>
      <c r="O2">
        <f>($D2-$J2)/4-$N2/2</f>
        <v>0.33</v>
      </c>
      <c r="Q2" s="11">
        <v>0.25</v>
      </c>
      <c r="U2">
        <v>4</v>
      </c>
      <c r="V2" s="16">
        <v>0.13500000000000001</v>
      </c>
      <c r="W2" s="16">
        <v>7.0000000000000007E-2</v>
      </c>
    </row>
    <row r="3" spans="1:23">
      <c r="A3" s="14">
        <v>300</v>
      </c>
      <c r="B3">
        <v>2</v>
      </c>
      <c r="C3">
        <v>3.5</v>
      </c>
      <c r="D3">
        <v>1.85</v>
      </c>
      <c r="E3">
        <f>ROUND(85%*$D3,2)</f>
        <v>1.57</v>
      </c>
      <c r="F3">
        <v>0.5</v>
      </c>
      <c r="G3">
        <f>ROUND($G$4/$C$4*C3,2)</f>
        <v>1.39</v>
      </c>
      <c r="H3">
        <f>ROUND($H$4/$G$4*G3,2)</f>
        <v>0.21</v>
      </c>
      <c r="I3">
        <v>0.6</v>
      </c>
      <c r="J3">
        <v>0.45</v>
      </c>
      <c r="K3">
        <v>300</v>
      </c>
      <c r="L3">
        <f>$K3*25.4/1000</f>
        <v>7.62</v>
      </c>
      <c r="M3">
        <f t="shared" ref="M3:M7" si="0">($C3-$G3-($D3-$E3)/$F3/2)/2</f>
        <v>0.91500000000000015</v>
      </c>
      <c r="N3">
        <v>0.04</v>
      </c>
      <c r="O3">
        <f t="shared" ref="O3:O7" si="1">($D3-$J3)/4-$N3/2</f>
        <v>0.33</v>
      </c>
      <c r="Q3" s="11">
        <v>0.25</v>
      </c>
      <c r="U3">
        <v>5</v>
      </c>
      <c r="V3" s="16">
        <v>0.22</v>
      </c>
      <c r="W3" s="16">
        <v>0.27500000000000002</v>
      </c>
    </row>
    <row r="4" spans="1:23">
      <c r="A4" s="14">
        <v>400</v>
      </c>
      <c r="B4">
        <v>3</v>
      </c>
      <c r="C4">
        <v>6.8</v>
      </c>
      <c r="D4">
        <v>2.5</v>
      </c>
      <c r="E4">
        <f>ROUND(85%*$D4,2)</f>
        <v>2.13</v>
      </c>
      <c r="F4">
        <v>0.5</v>
      </c>
      <c r="G4">
        <v>2.7</v>
      </c>
      <c r="H4">
        <v>0.4</v>
      </c>
      <c r="I4">
        <v>0.8</v>
      </c>
      <c r="J4">
        <v>0.54</v>
      </c>
      <c r="K4">
        <v>400</v>
      </c>
      <c r="L4">
        <f t="shared" ref="L4:L7" si="2">$K4*25.4/1000</f>
        <v>10.16</v>
      </c>
      <c r="M4">
        <f t="shared" si="0"/>
        <v>1.8649999999999998</v>
      </c>
      <c r="N4">
        <v>0.04</v>
      </c>
      <c r="O4">
        <f t="shared" si="1"/>
        <v>0.47</v>
      </c>
      <c r="Q4" s="11">
        <v>0.33</v>
      </c>
    </row>
    <row r="5" spans="1:23">
      <c r="A5" s="14">
        <v>500</v>
      </c>
      <c r="B5">
        <v>4</v>
      </c>
      <c r="C5">
        <v>9</v>
      </c>
      <c r="D5">
        <v>3</v>
      </c>
      <c r="E5">
        <f>ROUND(90%*$D5,2)</f>
        <v>2.7</v>
      </c>
      <c r="F5">
        <v>0.22</v>
      </c>
      <c r="G5">
        <f>ROUND(0.63*C5,2)</f>
        <v>5.67</v>
      </c>
      <c r="H5">
        <v>0.5</v>
      </c>
      <c r="I5">
        <v>1</v>
      </c>
      <c r="J5">
        <v>0.54</v>
      </c>
      <c r="K5">
        <v>500</v>
      </c>
      <c r="L5">
        <f t="shared" si="2"/>
        <v>12.7</v>
      </c>
      <c r="M5">
        <f t="shared" si="0"/>
        <v>1.3240909090909092</v>
      </c>
      <c r="N5">
        <v>0.04</v>
      </c>
      <c r="O5">
        <f t="shared" si="1"/>
        <v>0.59499999999999997</v>
      </c>
      <c r="Q5" s="11">
        <v>0.5</v>
      </c>
    </row>
    <row r="6" spans="1:23">
      <c r="A6" s="14">
        <v>600</v>
      </c>
      <c r="B6">
        <v>5</v>
      </c>
      <c r="C6">
        <v>12</v>
      </c>
      <c r="D6">
        <v>5</v>
      </c>
      <c r="E6">
        <f>ROUND(90%*$D6,2)</f>
        <v>4.5</v>
      </c>
      <c r="F6">
        <v>0.22</v>
      </c>
      <c r="G6">
        <f>ROUND(0.63*C6,2)</f>
        <v>7.56</v>
      </c>
      <c r="H6">
        <v>0.7</v>
      </c>
      <c r="I6">
        <v>1</v>
      </c>
      <c r="J6">
        <v>0.7</v>
      </c>
      <c r="K6">
        <v>600</v>
      </c>
      <c r="L6">
        <f t="shared" si="2"/>
        <v>15.24</v>
      </c>
      <c r="M6">
        <f t="shared" si="0"/>
        <v>1.6518181818181819</v>
      </c>
      <c r="N6">
        <v>0.04</v>
      </c>
      <c r="O6">
        <f t="shared" si="1"/>
        <v>1.0549999999999999</v>
      </c>
      <c r="Q6" s="11">
        <v>1</v>
      </c>
    </row>
    <row r="7" spans="1:23">
      <c r="A7" s="14">
        <v>800</v>
      </c>
      <c r="B7">
        <v>6</v>
      </c>
      <c r="C7">
        <v>16</v>
      </c>
      <c r="D7">
        <v>5.5</v>
      </c>
      <c r="E7">
        <f>ROUND(90%*$D7,2)</f>
        <v>4.95</v>
      </c>
      <c r="F7">
        <v>0.22</v>
      </c>
      <c r="G7">
        <f>ROUND(0.63*C7,2)</f>
        <v>10.08</v>
      </c>
      <c r="H7">
        <v>0.7</v>
      </c>
      <c r="I7">
        <v>1</v>
      </c>
      <c r="J7">
        <v>0.7</v>
      </c>
      <c r="K7">
        <v>800</v>
      </c>
      <c r="L7">
        <f t="shared" si="2"/>
        <v>20.32</v>
      </c>
      <c r="M7">
        <f t="shared" si="0"/>
        <v>2.335</v>
      </c>
      <c r="N7">
        <v>0.04</v>
      </c>
      <c r="O7">
        <f t="shared" si="1"/>
        <v>1.18</v>
      </c>
      <c r="Q7" s="11">
        <v>2</v>
      </c>
    </row>
    <row r="8" spans="1:23" ht="12" customHeight="1">
      <c r="A8" s="14"/>
      <c r="G8" s="15"/>
    </row>
    <row r="9" spans="1:23">
      <c r="A9" s="14"/>
      <c r="G9" s="15"/>
    </row>
    <row r="10" spans="1:23">
      <c r="A10" s="14"/>
      <c r="G10" s="15"/>
    </row>
    <row r="11" spans="1:23">
      <c r="A11" s="14"/>
      <c r="G11" s="15"/>
      <c r="O11" s="18" t="s">
        <v>62</v>
      </c>
    </row>
    <row r="12" spans="1:23">
      <c r="A12" s="14"/>
      <c r="G12" s="15"/>
      <c r="I12" s="18" t="s">
        <v>63</v>
      </c>
    </row>
    <row r="13" spans="1:23">
      <c r="A13" s="14"/>
      <c r="G13" s="15"/>
      <c r="L13" s="19"/>
    </row>
    <row r="14" spans="1:23">
      <c r="A14" s="14"/>
      <c r="G14" s="15"/>
    </row>
    <row r="15" spans="1:23">
      <c r="A15" s="14"/>
      <c r="G15" s="15"/>
    </row>
  </sheetData>
  <dataValidations count="1">
    <dataValidation showInputMessage="1" showErrorMessage="1" errorTitle="SOLIDWORKS Error:" error="The value you have entered is invalid.  Please enter a valid value before continuing." promptTitle="D4@Sketch2" prompt="Enter a valid value for this parameter." sqref="O11 I12"/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Sheet1</vt:lpstr>
      <vt:lpstr>Sheet2</vt:lpstr>
      <vt:lpstr>Family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</dc:creator>
  <cp:lastModifiedBy>Chris</cp:lastModifiedBy>
  <dcterms:created xsi:type="dcterms:W3CDTF">2016-03-19T10:53:07Z</dcterms:created>
  <dcterms:modified xsi:type="dcterms:W3CDTF">2016-03-21T09:28:20Z</dcterms:modified>
</cp:coreProperties>
</file>